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рогноз2009 ВСЕГО 04  " sheetId="1" r:id="rId1"/>
  </sheets>
  <externalReferences>
    <externalReference r:id="rId4"/>
  </externalReferences>
  <definedNames>
    <definedName name="n">'[1]Исходник'!$B$4</definedName>
    <definedName name="pr">'[1]Исходник'!$B$3</definedName>
    <definedName name="pv">'[1]Исходник'!$B$2</definedName>
    <definedName name="ss">'[1]Плата за найм'!$D$30</definedName>
    <definedName name="_xlnm.Print_Titles" localSheetId="0">'прогноз2009 ВСЕГО 04  '!$13:$13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 данным Кучина и Шабаловского</t>
        </r>
      </text>
    </comment>
  </commentList>
</comments>
</file>

<file path=xl/sharedStrings.xml><?xml version="1.0" encoding="utf-8"?>
<sst xmlns="http://schemas.openxmlformats.org/spreadsheetml/2006/main" count="81" uniqueCount="57">
  <si>
    <t>Показатель</t>
  </si>
  <si>
    <t>Сумма платежей, собираемых за счет платы за наем муниципального жилья, тыс. руб.</t>
  </si>
  <si>
    <t>Сумма платежей собираемая за счет платы за наем мест общего пользования в муниципальном жилищном фонде, тыс. руб.</t>
  </si>
  <si>
    <t>Сумма средств на расселение ветхого и аварийного жилищного фонда, тыс. руб.</t>
  </si>
  <si>
    <t>В том числе за счет  бюджета ЗАТО Северск</t>
  </si>
  <si>
    <t>в т.ч. аварийного</t>
  </si>
  <si>
    <t>в т.ч. на расселение аварийного фонда</t>
  </si>
  <si>
    <t>В том числе  за счет областного бюджета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</si>
  <si>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</si>
  <si>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</si>
  <si>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</si>
  <si>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</si>
  <si>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</si>
  <si>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</si>
  <si>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</si>
  <si>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</si>
  <si>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</si>
  <si>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</si>
  <si>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</si>
  <si>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</si>
  <si>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</si>
  <si>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</si>
  <si>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и   ликвидация   ветхого и   аварийного   жилищного    фонда</t>
  </si>
  <si>
    <t>утвержденной         Решением       Думы    ЗАТО   Северск</t>
  </si>
  <si>
    <t>ЗАТО Северск в 2007-2010 годах с прогнозом до 2020 года»,</t>
  </si>
  <si>
    <t>факт</t>
  </si>
  <si>
    <t>*</t>
  </si>
  <si>
    <r>
      <t xml:space="preserve">от </t>
    </r>
    <r>
      <rPr>
        <u val="single"/>
        <sz val="12"/>
        <rFont val="Times New Roman"/>
        <family val="1"/>
      </rPr>
      <t xml:space="preserve">        22.03.2007         </t>
    </r>
  </si>
  <si>
    <r>
      <t xml:space="preserve">№ </t>
    </r>
    <r>
      <rPr>
        <u val="single"/>
        <sz val="12"/>
        <rFont val="Times New Roman"/>
        <family val="1"/>
      </rPr>
      <t xml:space="preserve">    30/4        </t>
    </r>
  </si>
  <si>
    <t>в т.ч. аварийного фонда</t>
  </si>
  <si>
    <t xml:space="preserve"> </t>
  </si>
  <si>
    <t>план</t>
  </si>
  <si>
    <t>Общая площадь неприватизированного жилья в муниципальном и государственном жилищном фонде на начало года, кв. м</t>
  </si>
  <si>
    <t>Общая площадь приватизированного жилья и другого жилья, относящегося к частной форме собственности на начало года, кв. м</t>
  </si>
  <si>
    <t>Количество расселенных человек</t>
  </si>
  <si>
    <t>Общая площадь муниципального жилищного фонда на конец год,  кв. м</t>
  </si>
  <si>
    <t>Общая площадь ветхого и аварийного жилищный фонд на конец года,  кв. м</t>
  </si>
  <si>
    <r>
      <t xml:space="preserve">       &lt;**&gt; С 2010 года выбытие жилья вследствие приватизации останется на уровне 2009 года и дополнительно 2 месяца 2010 г. в связи с окончанием срока приватизации жилья</t>
    </r>
    <r>
      <rPr>
        <sz val="12"/>
        <rFont val="Times New Roman"/>
        <family val="1"/>
      </rPr>
      <t>.</t>
    </r>
  </si>
  <si>
    <t xml:space="preserve">          ------------------------------------</t>
  </si>
  <si>
    <t>к целевой программе  «Строительство  (приобретение) жилья</t>
  </si>
  <si>
    <t xml:space="preserve"> «Приложение 3</t>
  </si>
  <si>
    <t xml:space="preserve">Общая площадь приватизированного жилья в муниципальном жилищном фонде на конец года,  кв. м </t>
  </si>
  <si>
    <t xml:space="preserve">                    ПРОГНОЗ </t>
  </si>
  <si>
    <t>Общая площадь ветхого и аварийного жилья на начало года,  кв. м</t>
  </si>
  <si>
    <t>Прогноз платы за наем муниципального жилья, руб. за кв. м в месяц</t>
  </si>
  <si>
    <t xml:space="preserve">       &lt;*&gt;  Общая площадь построенного или приобретенного жилья учитывает норму предоставления жилья гражданам, поставленным на учет в качестве нуждающихся (увеличение на 10% предоставляемой площади                        </t>
  </si>
  <si>
    <t xml:space="preserve"> расселения ветхого и аварийного жилищного фонда на период   2007-2020 годов.</t>
  </si>
  <si>
    <t>в том числе</t>
  </si>
  <si>
    <t>Всего план</t>
  </si>
  <si>
    <t>В том числе  за счет федерального бюджета (Фонда)</t>
  </si>
  <si>
    <t>Естественный прирост ветхого и аварийного жилищного фонда,  кв. м</t>
  </si>
  <si>
    <t>Ликвидированный ветхий и аварийный жилищный фонд,  кв. м</t>
  </si>
  <si>
    <t>Потребность в дополнительном финансировании за счет средств федерального, областного и местного бюджетов, тыс. руб. ***</t>
  </si>
  <si>
    <t>Общая площадь жилья, построенного (приобретенного) для целей расселения,  кв. м *</t>
  </si>
  <si>
    <t>Выбытие муниципального жилищного фонда вследствие приватизации,  кв. м             **</t>
  </si>
  <si>
    <t xml:space="preserve">      &lt;***&gt;  Потребность в дополнительном финансирование  корректируется ежегодно. </t>
  </si>
  <si>
    <t>от ранее занимаемой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</si>
</sst>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&quot;р.&quot;"/>
    <numFmt numFmtId="171" formatCode="#,##0.00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sz val="7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atalova\&#1052;&#1086;&#1080;%20&#1076;&#1086;&#1082;&#1091;&#1084;&#1077;&#1085;&#1090;&#1099;\docs\&#1094;&#1077;&#1083;&#1077;&#1074;&#1099;&#1077;%20&#1087;&#1088;&#1086;&#1075;&#1088;&#1072;&#1084;&#1084;&#1099;\&#1088;&#1072;&#1089;&#1095;&#1077;&#1090;&#1099;%20&#1087;&#1088;&#1080;&#1083;&#1086;&#1078;&#1077;&#1085;&#1080;&#1103;%20&#1082;%20&#1087;&#1088;&#1086;&#1075;&#1088;&#1072;&#1084;&#1084;&#1077;\&#1074;&#1077;&#1090;&#1093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"/>
      <sheetName val="Приложение 1"/>
      <sheetName val="Плата за найм (2)"/>
      <sheetName val="П 2 Плата за найм график"/>
      <sheetName val="П 2 Доля в эо тарифе"/>
      <sheetName val="Всего"/>
      <sheetName val="Ал рн"/>
      <sheetName val="Ас рн"/>
      <sheetName val="Бакч рн"/>
      <sheetName val="Верхн. рн"/>
      <sheetName val="Зыр рн"/>
      <sheetName val="Карг рн"/>
      <sheetName val="Кедр"/>
      <sheetName val="Кожевн рн"/>
      <sheetName val="Колп рн"/>
      <sheetName val="Крив рн"/>
      <sheetName val="Молч рн"/>
      <sheetName val="Параб рн"/>
      <sheetName val="Перв рн"/>
      <sheetName val="Потребность в редствах"/>
      <sheetName val="Северск"/>
      <sheetName val="Стреж"/>
      <sheetName val="Тег рн"/>
      <sheetName val="Том рн"/>
      <sheetName val="Чаин рн"/>
      <sheetName val="Шег рн"/>
      <sheetName val="Томск"/>
      <sheetName val="Лист1"/>
      <sheetName val="Лист2"/>
      <sheetName val="Лист1 (2)"/>
      <sheetName val="Динамика"/>
      <sheetName val="Плата за найм"/>
      <sheetName val="П 4 Прогноз потребности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Александровский район"/>
      <sheetName val="Асиновский район"/>
      <sheetName val="Шегарский район"/>
      <sheetName val="Бакчарский район"/>
      <sheetName val="г.Стрежевой"/>
      <sheetName val="Кривошеинский район"/>
      <sheetName val="Колпашевский район"/>
      <sheetName val="Томский район"/>
      <sheetName val="Кожевниковский район"/>
      <sheetName val="Тегульдетский район"/>
      <sheetName val="Молчановский район"/>
      <sheetName val="Парабельский район"/>
      <sheetName val="Верхнекетский район"/>
      <sheetName val="г.Кедровый"/>
      <sheetName val="Зырянский район"/>
      <sheetName val="Первомайский район"/>
      <sheetName val="Каргасокский район"/>
      <sheetName val="Расчет к программе"/>
      <sheetName val="Расчет платы за найм"/>
    </sheetNames>
    <sheetDataSet>
      <sheetData sheetId="0">
        <row r="2">
          <cell r="B2">
            <v>1.005</v>
          </cell>
        </row>
        <row r="3">
          <cell r="B3">
            <v>0.05</v>
          </cell>
        </row>
        <row r="4">
          <cell r="B4">
            <v>10.7</v>
          </cell>
        </row>
      </sheetData>
      <sheetData sheetId="1">
        <row r="14">
          <cell r="J14">
            <v>0.033</v>
          </cell>
        </row>
      </sheetData>
      <sheetData sheetId="31">
        <row r="30">
          <cell r="D30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workbookViewId="0" topLeftCell="A1">
      <selection activeCell="U16" sqref="U16"/>
    </sheetView>
  </sheetViews>
  <sheetFormatPr defaultColWidth="9.00390625" defaultRowHeight="12.75"/>
  <cols>
    <col min="1" max="1" width="4.375" style="0" customWidth="1"/>
    <col min="2" max="2" width="28.125" style="9" customWidth="1"/>
    <col min="3" max="3" width="10.375" style="9" customWidth="1"/>
    <col min="4" max="4" width="8.25390625" style="9" customWidth="1"/>
    <col min="5" max="5" width="8.875" style="9" customWidth="1"/>
    <col min="6" max="6" width="7.875" style="0" customWidth="1"/>
    <col min="7" max="7" width="9.00390625" style="0" customWidth="1"/>
    <col min="8" max="8" width="7.75390625" style="0" customWidth="1"/>
    <col min="10" max="10" width="7.625" style="0" customWidth="1"/>
    <col min="11" max="11" width="7.375" style="0" customWidth="1"/>
    <col min="12" max="13" width="8.00390625" style="0" customWidth="1"/>
    <col min="14" max="14" width="7.75390625" style="0" customWidth="1"/>
    <col min="15" max="15" width="8.375" style="0" customWidth="1"/>
    <col min="16" max="16" width="8.25390625" style="0" customWidth="1"/>
    <col min="17" max="17" width="8.125" style="0" customWidth="1"/>
    <col min="18" max="18" width="7.875" style="0" customWidth="1"/>
    <col min="19" max="19" width="10.25390625" style="0" customWidth="1"/>
    <col min="20" max="21" width="12.75390625" style="0" bestFit="1" customWidth="1"/>
    <col min="22" max="22" width="13.25390625" style="0" customWidth="1"/>
  </cols>
  <sheetData>
    <row r="1" spans="10:18" ht="15.75">
      <c r="J1" s="20" t="s">
        <v>30</v>
      </c>
      <c r="K1" s="37" t="s">
        <v>40</v>
      </c>
      <c r="L1" s="37"/>
      <c r="M1" s="37"/>
      <c r="N1" s="37"/>
      <c r="O1" s="37"/>
      <c r="P1" s="37"/>
      <c r="Q1" s="37"/>
      <c r="R1" s="37"/>
    </row>
    <row r="2" spans="11:18" ht="15.75">
      <c r="K2" s="37" t="s">
        <v>39</v>
      </c>
      <c r="L2" s="37"/>
      <c r="M2" s="37"/>
      <c r="N2" s="37"/>
      <c r="O2" s="37"/>
      <c r="P2" s="37"/>
      <c r="Q2" s="37"/>
      <c r="R2" s="37"/>
    </row>
    <row r="3" spans="11:18" ht="15.75">
      <c r="K3" s="20" t="s">
        <v>22</v>
      </c>
      <c r="L3" s="20"/>
      <c r="M3" s="20"/>
      <c r="N3" s="20"/>
      <c r="O3" s="20"/>
      <c r="P3" s="20"/>
      <c r="Q3" s="20"/>
      <c r="R3" s="20"/>
    </row>
    <row r="4" spans="11:18" ht="15.75">
      <c r="K4" s="20" t="s">
        <v>24</v>
      </c>
      <c r="L4" s="19"/>
      <c r="M4" s="19"/>
      <c r="N4" s="19"/>
      <c r="O4" s="19"/>
      <c r="P4" s="19"/>
      <c r="Q4" s="19"/>
      <c r="R4" s="19"/>
    </row>
    <row r="5" spans="11:18" ht="15.75">
      <c r="K5" s="20" t="s">
        <v>23</v>
      </c>
      <c r="L5" s="19"/>
      <c r="M5" s="19"/>
      <c r="N5" s="19"/>
      <c r="O5" s="19"/>
      <c r="P5" s="19"/>
      <c r="Q5" s="19"/>
      <c r="R5" s="19"/>
    </row>
    <row r="6" spans="11:18" ht="15.75">
      <c r="K6" s="38" t="s">
        <v>27</v>
      </c>
      <c r="L6" s="45"/>
      <c r="M6" s="45"/>
      <c r="N6" s="38" t="s">
        <v>28</v>
      </c>
      <c r="O6" s="39"/>
      <c r="P6" s="29"/>
      <c r="Q6" s="27"/>
      <c r="R6" s="19"/>
    </row>
    <row r="7" spans="11:18" ht="15.75">
      <c r="K7" s="20"/>
      <c r="L7" s="19"/>
      <c r="M7" s="19"/>
      <c r="N7" s="19"/>
      <c r="O7" s="19"/>
      <c r="P7" s="19"/>
      <c r="Q7" s="19"/>
      <c r="R7" s="19"/>
    </row>
    <row r="8" spans="2:19" ht="15.75" customHeight="1">
      <c r="B8" s="52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36"/>
      <c r="P8" s="36"/>
      <c r="Q8" s="36"/>
      <c r="R8" s="28"/>
      <c r="S8" s="1"/>
    </row>
    <row r="9" spans="2:19" ht="21.75" customHeight="1">
      <c r="B9" s="52" t="s">
        <v>46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6"/>
      <c r="P9" s="36"/>
      <c r="Q9" s="36"/>
      <c r="R9" s="36"/>
      <c r="S9" s="1"/>
    </row>
    <row r="10" spans="2:19" ht="12" customHeight="1">
      <c r="B10" s="40" t="s">
        <v>0</v>
      </c>
      <c r="C10" s="40" t="s">
        <v>48</v>
      </c>
      <c r="D10" s="56" t="s">
        <v>47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57"/>
      <c r="S10" s="2"/>
    </row>
    <row r="11" spans="2:19" ht="12" customHeight="1">
      <c r="B11" s="43"/>
      <c r="C11" s="41"/>
      <c r="D11" s="56" t="s">
        <v>8</v>
      </c>
      <c r="E11" s="57"/>
      <c r="F11" s="14" t="s">
        <v>9</v>
      </c>
      <c r="G11" s="13" t="s">
        <v>10</v>
      </c>
      <c r="H11" s="14" t="s">
        <v>11</v>
      </c>
      <c r="I11" s="13" t="s">
        <v>12</v>
      </c>
      <c r="J11" s="14" t="s">
        <v>13</v>
      </c>
      <c r="K11" s="13" t="s">
        <v>14</v>
      </c>
      <c r="L11" s="14" t="s">
        <v>15</v>
      </c>
      <c r="M11" s="13" t="s">
        <v>16</v>
      </c>
      <c r="N11" s="14" t="s">
        <v>17</v>
      </c>
      <c r="O11" s="13" t="s">
        <v>18</v>
      </c>
      <c r="P11" s="14" t="s">
        <v>19</v>
      </c>
      <c r="Q11" s="13" t="s">
        <v>20</v>
      </c>
      <c r="R11" s="14" t="s">
        <v>21</v>
      </c>
      <c r="S11" s="2"/>
    </row>
    <row r="12" spans="2:19" ht="12" customHeight="1">
      <c r="B12" s="44"/>
      <c r="C12" s="42"/>
      <c r="D12" s="12" t="s">
        <v>31</v>
      </c>
      <c r="E12" s="12" t="s">
        <v>25</v>
      </c>
      <c r="F12" s="58" t="s">
        <v>31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2"/>
    </row>
    <row r="13" spans="2:19" ht="12.75">
      <c r="B13" s="12">
        <v>1</v>
      </c>
      <c r="C13" s="12">
        <v>2</v>
      </c>
      <c r="D13" s="53">
        <v>3</v>
      </c>
      <c r="E13" s="54"/>
      <c r="F13" s="13">
        <v>4</v>
      </c>
      <c r="G13" s="13">
        <v>5</v>
      </c>
      <c r="H13" s="13">
        <v>6</v>
      </c>
      <c r="I13" s="13">
        <v>7</v>
      </c>
      <c r="J13" s="13">
        <v>8</v>
      </c>
      <c r="K13" s="13">
        <v>9</v>
      </c>
      <c r="L13" s="13">
        <v>10</v>
      </c>
      <c r="M13" s="13">
        <v>11</v>
      </c>
      <c r="N13" s="13">
        <v>12</v>
      </c>
      <c r="O13" s="13">
        <v>13</v>
      </c>
      <c r="P13" s="13">
        <v>14</v>
      </c>
      <c r="Q13" s="13">
        <v>15</v>
      </c>
      <c r="R13" s="13">
        <v>16</v>
      </c>
      <c r="S13" s="2"/>
    </row>
    <row r="14" spans="2:19" ht="43.5" customHeight="1">
      <c r="B14" s="15" t="s">
        <v>43</v>
      </c>
      <c r="C14" s="17" t="s">
        <v>26</v>
      </c>
      <c r="D14" s="25">
        <v>58851.2</v>
      </c>
      <c r="E14" s="25">
        <v>58848.3</v>
      </c>
      <c r="F14" s="17">
        <f>E42</f>
        <v>58848.3</v>
      </c>
      <c r="G14" s="17">
        <f aca="true" t="shared" si="0" ref="G14:R14">F42</f>
        <v>58848.3</v>
      </c>
      <c r="H14" s="17">
        <f t="shared" si="0"/>
        <v>55148</v>
      </c>
      <c r="I14" s="17">
        <f t="shared" si="0"/>
        <v>55059</v>
      </c>
      <c r="J14" s="17">
        <f t="shared" si="0"/>
        <v>56911</v>
      </c>
      <c r="K14" s="17">
        <f t="shared" si="0"/>
        <v>57717</v>
      </c>
      <c r="L14" s="17">
        <f t="shared" si="0"/>
        <v>58370</v>
      </c>
      <c r="M14" s="17">
        <f t="shared" si="0"/>
        <v>57916</v>
      </c>
      <c r="N14" s="17">
        <f t="shared" si="0"/>
        <v>56321</v>
      </c>
      <c r="O14" s="17">
        <f t="shared" si="0"/>
        <v>54378</v>
      </c>
      <c r="P14" s="17">
        <f t="shared" si="0"/>
        <v>52402</v>
      </c>
      <c r="Q14" s="17">
        <f t="shared" si="0"/>
        <v>49684</v>
      </c>
      <c r="R14" s="17">
        <f t="shared" si="0"/>
        <v>46637</v>
      </c>
      <c r="S14" s="3"/>
    </row>
    <row r="15" spans="2:19" ht="13.5" customHeight="1">
      <c r="B15" s="15" t="s">
        <v>5</v>
      </c>
      <c r="C15" s="17" t="s">
        <v>26</v>
      </c>
      <c r="D15" s="25"/>
      <c r="E15" s="17">
        <v>3700.4</v>
      </c>
      <c r="F15" s="17">
        <v>3700.4</v>
      </c>
      <c r="G15" s="17">
        <v>3700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3"/>
    </row>
    <row r="16" spans="2:19" ht="51.75" customHeight="1">
      <c r="B16" s="16" t="s">
        <v>32</v>
      </c>
      <c r="C16" s="17" t="s">
        <v>26</v>
      </c>
      <c r="D16" s="18">
        <v>620400</v>
      </c>
      <c r="E16" s="18">
        <v>622808.1</v>
      </c>
      <c r="F16" s="17">
        <f>E41</f>
        <v>575833.3</v>
      </c>
      <c r="G16" s="17">
        <f aca="true" t="shared" si="1" ref="G16:R16">F41</f>
        <v>545733</v>
      </c>
      <c r="H16" s="17">
        <f t="shared" si="1"/>
        <v>549233</v>
      </c>
      <c r="I16" s="17">
        <f t="shared" si="1"/>
        <v>548601.1216666667</v>
      </c>
      <c r="J16" s="17">
        <f t="shared" si="1"/>
        <v>548690.2616666667</v>
      </c>
      <c r="K16" s="17">
        <f t="shared" si="1"/>
        <v>548883.9616666667</v>
      </c>
      <c r="L16" s="17">
        <f t="shared" si="1"/>
        <v>549093.1316666667</v>
      </c>
      <c r="M16" s="17">
        <f t="shared" si="1"/>
        <v>549413.1216666667</v>
      </c>
      <c r="N16" s="17">
        <f t="shared" si="1"/>
        <v>549847.3516666667</v>
      </c>
      <c r="O16" s="17">
        <f t="shared" si="1"/>
        <v>550316.5716666668</v>
      </c>
      <c r="P16" s="17">
        <f t="shared" si="1"/>
        <v>550789.3016666668</v>
      </c>
      <c r="Q16" s="17">
        <f t="shared" si="1"/>
        <v>551336.5316666667</v>
      </c>
      <c r="R16" s="17">
        <f t="shared" si="1"/>
        <v>551916.9316666668</v>
      </c>
      <c r="S16" s="3"/>
    </row>
    <row r="17" spans="2:19" ht="16.5" customHeight="1">
      <c r="B17" s="16" t="s">
        <v>5</v>
      </c>
      <c r="C17" s="17" t="s">
        <v>26</v>
      </c>
      <c r="D17" s="18"/>
      <c r="E17" s="17">
        <v>1553</v>
      </c>
      <c r="F17" s="17">
        <v>1553</v>
      </c>
      <c r="G17" s="17">
        <v>1553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3"/>
    </row>
    <row r="18" spans="2:19" ht="42" customHeight="1">
      <c r="B18" s="16" t="s">
        <v>33</v>
      </c>
      <c r="C18" s="17" t="s">
        <v>26</v>
      </c>
      <c r="D18" s="18">
        <v>1675800</v>
      </c>
      <c r="E18" s="18">
        <v>1680331.3</v>
      </c>
      <c r="F18" s="17">
        <f>E40</f>
        <v>1760569.9</v>
      </c>
      <c r="G18" s="17">
        <f aca="true" t="shared" si="2" ref="G18:R18">F40</f>
        <v>1841300</v>
      </c>
      <c r="H18" s="17">
        <f t="shared" si="2"/>
        <v>1895600</v>
      </c>
      <c r="I18" s="17">
        <f t="shared" si="2"/>
        <v>1896515.3883333334</v>
      </c>
      <c r="J18" s="17">
        <f t="shared" si="2"/>
        <v>1896515.3883333334</v>
      </c>
      <c r="K18" s="17">
        <f t="shared" si="2"/>
        <v>1896515.3883333334</v>
      </c>
      <c r="L18" s="17">
        <f t="shared" si="2"/>
        <v>1896515.3883333334</v>
      </c>
      <c r="M18" s="17">
        <f t="shared" si="2"/>
        <v>1896515.3883333334</v>
      </c>
      <c r="N18" s="17">
        <f t="shared" si="2"/>
        <v>1896515.3883333334</v>
      </c>
      <c r="O18" s="17">
        <f t="shared" si="2"/>
        <v>1896515.3883333334</v>
      </c>
      <c r="P18" s="17">
        <f t="shared" si="2"/>
        <v>1896515.3883333334</v>
      </c>
      <c r="Q18" s="17">
        <f t="shared" si="2"/>
        <v>1896515.3883333334</v>
      </c>
      <c r="R18" s="17">
        <f t="shared" si="2"/>
        <v>1896515.3883333334</v>
      </c>
      <c r="S18" s="3"/>
    </row>
    <row r="19" spans="2:19" ht="15.75" customHeight="1">
      <c r="B19" s="16" t="s">
        <v>5</v>
      </c>
      <c r="C19" s="17" t="s">
        <v>26</v>
      </c>
      <c r="D19" s="18"/>
      <c r="E19" s="18">
        <v>2147.4</v>
      </c>
      <c r="F19" s="18">
        <v>2147.4</v>
      </c>
      <c r="G19" s="17">
        <v>2147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2"/>
    </row>
    <row r="20" spans="2:19" ht="34.5" customHeight="1">
      <c r="B20" s="16" t="s">
        <v>44</v>
      </c>
      <c r="C20" s="17" t="s">
        <v>26</v>
      </c>
      <c r="D20" s="18">
        <v>1.52</v>
      </c>
      <c r="E20" s="18">
        <v>1.47</v>
      </c>
      <c r="F20" s="17">
        <v>1.52</v>
      </c>
      <c r="G20" s="17">
        <v>2.04</v>
      </c>
      <c r="H20" s="17">
        <v>2.19</v>
      </c>
      <c r="I20" s="17">
        <v>2.58</v>
      </c>
      <c r="J20" s="17">
        <v>3.06</v>
      </c>
      <c r="K20" s="17">
        <v>3.08</v>
      </c>
      <c r="L20" s="17">
        <v>3.1</v>
      </c>
      <c r="M20" s="17">
        <v>3.12</v>
      </c>
      <c r="N20" s="17">
        <v>3.14</v>
      </c>
      <c r="O20" s="17">
        <v>3.16</v>
      </c>
      <c r="P20" s="17">
        <v>3.18</v>
      </c>
      <c r="Q20" s="17">
        <v>3.2</v>
      </c>
      <c r="R20" s="17">
        <v>3.22</v>
      </c>
      <c r="S20" s="4"/>
    </row>
    <row r="21" spans="2:20" ht="37.5" customHeight="1">
      <c r="B21" s="16" t="s">
        <v>1</v>
      </c>
      <c r="C21" s="18">
        <f>SUM(F21:R21)+D21</f>
        <v>235380.8887872</v>
      </c>
      <c r="D21" s="18">
        <v>7230</v>
      </c>
      <c r="E21" s="18">
        <v>8275</v>
      </c>
      <c r="F21" s="17">
        <v>0</v>
      </c>
      <c r="G21" s="17">
        <v>7808</v>
      </c>
      <c r="H21" s="17">
        <f>H20*H16*12/1000+2391.64</f>
        <v>16825.48324</v>
      </c>
      <c r="I21" s="17">
        <f aca="true" t="shared" si="3" ref="I21:R21">I20*I16*12/1000</f>
        <v>16984.690726800003</v>
      </c>
      <c r="J21" s="17">
        <f t="shared" si="3"/>
        <v>20147.906408400002</v>
      </c>
      <c r="K21" s="17">
        <f t="shared" si="3"/>
        <v>20286.7512232</v>
      </c>
      <c r="L21" s="17">
        <f t="shared" si="3"/>
        <v>20426.264498000004</v>
      </c>
      <c r="M21" s="17">
        <f t="shared" si="3"/>
        <v>20570.027275200002</v>
      </c>
      <c r="N21" s="17">
        <f t="shared" si="3"/>
        <v>20718.2482108</v>
      </c>
      <c r="O21" s="17">
        <f t="shared" si="3"/>
        <v>20868.0043976</v>
      </c>
      <c r="P21" s="17">
        <f t="shared" si="3"/>
        <v>21018.119751600003</v>
      </c>
      <c r="Q21" s="17">
        <f t="shared" si="3"/>
        <v>21171.322816000004</v>
      </c>
      <c r="R21" s="17">
        <f t="shared" si="3"/>
        <v>21326.0702396</v>
      </c>
      <c r="S21" s="4" t="s">
        <v>30</v>
      </c>
      <c r="T21" s="26"/>
    </row>
    <row r="22" spans="2:19" ht="34.5" customHeight="1" hidden="1">
      <c r="B22" s="16" t="s">
        <v>2</v>
      </c>
      <c r="C22" s="17">
        <v>0</v>
      </c>
      <c r="D22" s="18"/>
      <c r="E22" s="18"/>
      <c r="F22" s="17">
        <f>ROUND(IF(F14=0,0,F20*F18*12*'[1]Приложение 1'!$J14/1000),1)*0</f>
        <v>0</v>
      </c>
      <c r="G22" s="17">
        <f>ROUND(IF(G14=0,0,G20*G18*12*'[1]Приложение 1'!$J14/1000),1)*0</f>
        <v>0</v>
      </c>
      <c r="H22" s="17">
        <f>ROUND(IF(H14=0,0,H20*H18*12*'[1]Приложение 1'!$J14/1000),1)*0</f>
        <v>0</v>
      </c>
      <c r="I22" s="17">
        <f>ROUND(IF(I14=0,0,I20*I18*12*'[1]Приложение 1'!$J14/1000),1)*0</f>
        <v>0</v>
      </c>
      <c r="J22" s="17">
        <f>ROUND(IF(J14=0,0,J20*J18*12*'[1]Приложение 1'!$J14/1000),1)*0</f>
        <v>0</v>
      </c>
      <c r="K22" s="17">
        <f>ROUND(IF(K14=0,0,K20*K18*12*'[1]Приложение 1'!$J14/1000),1)*0</f>
        <v>0</v>
      </c>
      <c r="L22" s="17">
        <f>ROUND(IF(L14=0,0,L20*L18*12*'[1]Приложение 1'!$J14/1000),1)*0</f>
        <v>0</v>
      </c>
      <c r="M22" s="17">
        <f>ROUND(IF(M14=0,0,M20*M18*12*'[1]Приложение 1'!$J14/1000),1)*0</f>
        <v>0</v>
      </c>
      <c r="N22" s="17">
        <f>ROUND(IF(N14=0,0,N20*N18*12*'[1]Приложение 1'!$J14/1000),1)*0</f>
        <v>0</v>
      </c>
      <c r="O22" s="17">
        <f>ROUND(IF(O14=0,0,O20*O18*12*'[1]Приложение 1'!$J14/1000),1)*0</f>
        <v>0</v>
      </c>
      <c r="P22" s="17">
        <f>ROUND(IF(P14=0,0,P20*P18*12*'[1]Приложение 1'!$J14/1000),1)*0</f>
        <v>0</v>
      </c>
      <c r="Q22" s="17">
        <f>ROUND(IF(Q14=0,0,Q20*Q18*12*'[1]Приложение 1'!$J14/1000),1)*0</f>
        <v>0</v>
      </c>
      <c r="R22" s="17">
        <f>ROUND(IF(R14=0,0,R20*R18*12*'[1]Приложение 1'!$J14/1000),1)*0</f>
        <v>0</v>
      </c>
      <c r="S22" s="4"/>
    </row>
    <row r="23" spans="2:20" ht="43.5" customHeight="1">
      <c r="B23" s="16" t="s">
        <v>52</v>
      </c>
      <c r="C23" s="18">
        <f>SUM(C25+C27+C29)</f>
        <v>2150630.6952128005</v>
      </c>
      <c r="D23" s="18">
        <v>15540</v>
      </c>
      <c r="E23" s="18">
        <v>23225</v>
      </c>
      <c r="F23" s="17">
        <v>0</v>
      </c>
      <c r="G23" s="17">
        <f>SUM(G25+G27+G29)</f>
        <v>65840.96</v>
      </c>
      <c r="H23" s="17">
        <f aca="true" t="shared" si="4" ref="H23:Q23">H33*37.6-H21</f>
        <v>100434.25276</v>
      </c>
      <c r="I23" s="17">
        <f t="shared" si="4"/>
        <v>19883.6132732</v>
      </c>
      <c r="J23" s="17">
        <f t="shared" si="4"/>
        <v>59966.41359160001</v>
      </c>
      <c r="K23" s="17">
        <f t="shared" si="4"/>
        <v>66225.9607768</v>
      </c>
      <c r="L23" s="17">
        <f t="shared" si="4"/>
        <v>111921.59950200003</v>
      </c>
      <c r="M23" s="17">
        <f t="shared" si="4"/>
        <v>159027.50072480002</v>
      </c>
      <c r="N23" s="17">
        <f t="shared" si="4"/>
        <v>173351.14378920002</v>
      </c>
      <c r="O23" s="17">
        <f t="shared" si="4"/>
        <v>174653.1236024</v>
      </c>
      <c r="P23" s="17">
        <f t="shared" si="4"/>
        <v>205316.20824840004</v>
      </c>
      <c r="Q23" s="17">
        <f t="shared" si="4"/>
        <v>218882.11718400003</v>
      </c>
      <c r="R23" s="17">
        <f>R33*37.6-R21</f>
        <v>770912.3217604001</v>
      </c>
      <c r="S23" s="3" t="s">
        <v>30</v>
      </c>
      <c r="T23" s="26" t="s">
        <v>30</v>
      </c>
    </row>
    <row r="24" spans="2:19" ht="14.25" customHeight="1">
      <c r="B24" s="16" t="s">
        <v>6</v>
      </c>
      <c r="C24" s="18">
        <f>SUM(F24:R24)</f>
        <v>65840.96</v>
      </c>
      <c r="D24" s="18"/>
      <c r="E24" s="18"/>
      <c r="F24" s="17">
        <v>0</v>
      </c>
      <c r="G24" s="17">
        <f>SUM(G26+G28+G30)</f>
        <v>65840.96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3"/>
    </row>
    <row r="25" spans="2:20" ht="26.25" customHeight="1">
      <c r="B25" s="16" t="s">
        <v>4</v>
      </c>
      <c r="C25" s="18">
        <f>SUM(F25:R25)+D25</f>
        <v>1048236.5276064002</v>
      </c>
      <c r="D25" s="18">
        <v>7770</v>
      </c>
      <c r="E25" s="18">
        <v>6725</v>
      </c>
      <c r="F25" s="17">
        <v>0</v>
      </c>
      <c r="G25" s="17">
        <v>5840.96</v>
      </c>
      <c r="H25" s="17">
        <f aca="true" t="shared" si="5" ref="H25:Q25">H23/2</f>
        <v>50217.12638</v>
      </c>
      <c r="I25" s="17">
        <f t="shared" si="5"/>
        <v>9941.8066366</v>
      </c>
      <c r="J25" s="17">
        <f t="shared" si="5"/>
        <v>29983.206795800004</v>
      </c>
      <c r="K25" s="17">
        <f t="shared" si="5"/>
        <v>33112.9803884</v>
      </c>
      <c r="L25" s="17">
        <f t="shared" si="5"/>
        <v>55960.79975100001</v>
      </c>
      <c r="M25" s="17">
        <f t="shared" si="5"/>
        <v>79513.75036240001</v>
      </c>
      <c r="N25" s="17">
        <f t="shared" si="5"/>
        <v>86675.57189460001</v>
      </c>
      <c r="O25" s="17">
        <f t="shared" si="5"/>
        <v>87326.5618012</v>
      </c>
      <c r="P25" s="17">
        <f t="shared" si="5"/>
        <v>102658.10412420002</v>
      </c>
      <c r="Q25" s="17">
        <f t="shared" si="5"/>
        <v>109441.05859200002</v>
      </c>
      <c r="R25" s="17">
        <f>R23/2+4338.44</f>
        <v>389794.60088020004</v>
      </c>
      <c r="S25" s="3" t="s">
        <v>30</v>
      </c>
      <c r="T25" s="26" t="s">
        <v>30</v>
      </c>
    </row>
    <row r="26" spans="2:19" ht="18" customHeight="1">
      <c r="B26" s="16" t="s">
        <v>6</v>
      </c>
      <c r="C26" s="17">
        <f>SUM(F26:R26)</f>
        <v>5840.96</v>
      </c>
      <c r="D26" s="18"/>
      <c r="E26" s="18">
        <v>6725</v>
      </c>
      <c r="F26" s="17">
        <v>0</v>
      </c>
      <c r="G26" s="17">
        <v>5840.96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3"/>
    </row>
    <row r="27" spans="2:19" ht="20.25" customHeight="1">
      <c r="B27" s="16" t="s">
        <v>7</v>
      </c>
      <c r="C27" s="17">
        <f>SUM(F27:R27)+D27</f>
        <v>1042394.1676064002</v>
      </c>
      <c r="D27" s="18">
        <v>7770</v>
      </c>
      <c r="E27" s="18"/>
      <c r="F27" s="17">
        <v>0</v>
      </c>
      <c r="G27" s="17">
        <v>0</v>
      </c>
      <c r="H27" s="17">
        <f aca="true" t="shared" si="6" ref="H27:Q27">H23/2</f>
        <v>50217.12638</v>
      </c>
      <c r="I27" s="17">
        <f t="shared" si="6"/>
        <v>9941.8066366</v>
      </c>
      <c r="J27" s="17">
        <f t="shared" si="6"/>
        <v>29983.206795800004</v>
      </c>
      <c r="K27" s="17">
        <f t="shared" si="6"/>
        <v>33112.9803884</v>
      </c>
      <c r="L27" s="17">
        <f t="shared" si="6"/>
        <v>55960.79975100001</v>
      </c>
      <c r="M27" s="17">
        <f t="shared" si="6"/>
        <v>79513.75036240001</v>
      </c>
      <c r="N27" s="17">
        <f t="shared" si="6"/>
        <v>86675.57189460001</v>
      </c>
      <c r="O27" s="17">
        <f t="shared" si="6"/>
        <v>87326.5618012</v>
      </c>
      <c r="P27" s="17">
        <f t="shared" si="6"/>
        <v>102658.10412420002</v>
      </c>
      <c r="Q27" s="17">
        <f t="shared" si="6"/>
        <v>109441.05859200002</v>
      </c>
      <c r="R27" s="17">
        <f>R23/2+4337.04</f>
        <v>389793.2008802</v>
      </c>
      <c r="S27" s="3"/>
    </row>
    <row r="28" spans="2:19" ht="18" customHeight="1">
      <c r="B28" s="16" t="s">
        <v>6</v>
      </c>
      <c r="C28" s="17">
        <f>SUM(E28)</f>
        <v>0</v>
      </c>
      <c r="D28" s="18"/>
      <c r="E28" s="18"/>
      <c r="F28" s="17">
        <v>0</v>
      </c>
      <c r="G28" s="17">
        <f>G27</f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3"/>
    </row>
    <row r="29" spans="2:19" ht="21" customHeight="1">
      <c r="B29" s="16" t="s">
        <v>49</v>
      </c>
      <c r="C29" s="17">
        <f>SUM(F29:R29)</f>
        <v>60000</v>
      </c>
      <c r="D29" s="18"/>
      <c r="E29" s="18">
        <v>16500</v>
      </c>
      <c r="F29" s="17">
        <v>0</v>
      </c>
      <c r="G29" s="17">
        <v>60000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3"/>
    </row>
    <row r="30" spans="2:19" ht="18" customHeight="1">
      <c r="B30" s="16" t="s">
        <v>6</v>
      </c>
      <c r="C30" s="17">
        <f>SUM(F30:R30)</f>
        <v>60000</v>
      </c>
      <c r="D30" s="18"/>
      <c r="E30" s="18">
        <v>16500</v>
      </c>
      <c r="F30" s="17">
        <v>0</v>
      </c>
      <c r="G30" s="17">
        <v>60000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3"/>
    </row>
    <row r="31" spans="1:35" ht="31.5" customHeight="1">
      <c r="A31" s="11"/>
      <c r="B31" s="16" t="s">
        <v>3</v>
      </c>
      <c r="C31" s="17">
        <f>SUM(C21+C23)</f>
        <v>2386011.5840000007</v>
      </c>
      <c r="D31" s="18">
        <v>22770</v>
      </c>
      <c r="E31" s="18">
        <f>SUM(E21+E25+E29)</f>
        <v>31500</v>
      </c>
      <c r="F31" s="17">
        <v>0</v>
      </c>
      <c r="G31" s="17">
        <f>SUM(G23+G21)</f>
        <v>73648.96</v>
      </c>
      <c r="H31" s="17">
        <f aca="true" t="shared" si="7" ref="H31:Q31">H21+H22+H23</f>
        <v>117259.736</v>
      </c>
      <c r="I31" s="17">
        <f t="shared" si="7"/>
        <v>36868.304000000004</v>
      </c>
      <c r="J31" s="17">
        <f t="shared" si="7"/>
        <v>80114.32</v>
      </c>
      <c r="K31" s="17">
        <f t="shared" si="7"/>
        <v>86512.712</v>
      </c>
      <c r="L31" s="17">
        <f t="shared" si="7"/>
        <v>132347.86400000003</v>
      </c>
      <c r="M31" s="17">
        <f t="shared" si="7"/>
        <v>179597.52800000002</v>
      </c>
      <c r="N31" s="17">
        <f t="shared" si="7"/>
        <v>194069.39200000002</v>
      </c>
      <c r="O31" s="17">
        <f t="shared" si="7"/>
        <v>195521.12800000003</v>
      </c>
      <c r="P31" s="17">
        <f t="shared" si="7"/>
        <v>226334.32800000004</v>
      </c>
      <c r="Q31" s="17">
        <f t="shared" si="7"/>
        <v>240053.44000000003</v>
      </c>
      <c r="R31" s="17">
        <v>31554.67</v>
      </c>
      <c r="S31" s="21"/>
      <c r="T31" s="22"/>
      <c r="U31" s="23"/>
      <c r="V31" s="2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9.5" customHeight="1">
      <c r="A32" s="11"/>
      <c r="B32" s="16" t="s">
        <v>6</v>
      </c>
      <c r="C32" s="17">
        <v>105148.96</v>
      </c>
      <c r="D32" s="18">
        <v>22770</v>
      </c>
      <c r="E32" s="18">
        <v>31500</v>
      </c>
      <c r="F32" s="17">
        <v>0</v>
      </c>
      <c r="G32" s="17">
        <f>SUM(G29+G27+G25+G21)</f>
        <v>73648.96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21"/>
      <c r="T32" s="22"/>
      <c r="U32" s="23"/>
      <c r="V32" s="22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0" customFormat="1" ht="39" customHeight="1">
      <c r="A33"/>
      <c r="B33" s="16" t="s">
        <v>53</v>
      </c>
      <c r="C33" s="17">
        <f>SUM(F33:R33)</f>
        <v>64475.28999999999</v>
      </c>
      <c r="D33" s="18">
        <v>1084.29</v>
      </c>
      <c r="E33" s="18">
        <v>0</v>
      </c>
      <c r="F33" s="17">
        <v>0</v>
      </c>
      <c r="G33" s="17">
        <v>3812.6</v>
      </c>
      <c r="H33" s="17">
        <f aca="true" t="shared" si="8" ref="H33:R33">H36*1.1</f>
        <v>3118.61</v>
      </c>
      <c r="I33" s="17">
        <f t="shared" si="8"/>
        <v>980.5400000000001</v>
      </c>
      <c r="J33" s="17">
        <f t="shared" si="8"/>
        <v>2130.7000000000003</v>
      </c>
      <c r="K33" s="17">
        <f t="shared" si="8"/>
        <v>2300.87</v>
      </c>
      <c r="L33" s="17">
        <f t="shared" si="8"/>
        <v>3519.8900000000003</v>
      </c>
      <c r="M33" s="17">
        <f t="shared" si="8"/>
        <v>4776.530000000001</v>
      </c>
      <c r="N33" s="17">
        <f t="shared" si="8"/>
        <v>5161.42</v>
      </c>
      <c r="O33" s="17">
        <f t="shared" si="8"/>
        <v>5200.030000000001</v>
      </c>
      <c r="P33" s="17">
        <f t="shared" si="8"/>
        <v>6019.530000000001</v>
      </c>
      <c r="Q33" s="17">
        <f t="shared" si="8"/>
        <v>6384.400000000001</v>
      </c>
      <c r="R33" s="17">
        <f t="shared" si="8"/>
        <v>21070.170000000002</v>
      </c>
      <c r="S33" s="24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19" ht="12.75">
      <c r="B34" s="16" t="s">
        <v>34</v>
      </c>
      <c r="C34" s="17">
        <f>SUM(F34:R34)</f>
        <v>3376</v>
      </c>
      <c r="D34" s="18">
        <v>77</v>
      </c>
      <c r="E34" s="18">
        <v>0</v>
      </c>
      <c r="F34" s="17">
        <v>0</v>
      </c>
      <c r="G34" s="17">
        <v>233</v>
      </c>
      <c r="H34" s="17">
        <f>79+98</f>
        <v>177</v>
      </c>
      <c r="I34" s="17">
        <v>95</v>
      </c>
      <c r="J34" s="17">
        <v>88</v>
      </c>
      <c r="K34" s="17">
        <v>122</v>
      </c>
      <c r="L34" s="17">
        <v>180</v>
      </c>
      <c r="M34" s="17">
        <v>192</v>
      </c>
      <c r="N34" s="17">
        <v>243</v>
      </c>
      <c r="O34" s="17">
        <v>269</v>
      </c>
      <c r="P34" s="17">
        <v>267</v>
      </c>
      <c r="Q34" s="17">
        <v>386</v>
      </c>
      <c r="R34" s="17">
        <f>1229-105</f>
        <v>1124</v>
      </c>
      <c r="S34" s="5"/>
    </row>
    <row r="35" spans="2:19" ht="12.75">
      <c r="B35" s="16" t="s">
        <v>6</v>
      </c>
      <c r="C35" s="17">
        <v>233</v>
      </c>
      <c r="D35" s="18"/>
      <c r="E35" s="18"/>
      <c r="F35" s="17"/>
      <c r="G35" s="17">
        <v>233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5"/>
    </row>
    <row r="36" spans="2:21" ht="32.25" customHeight="1">
      <c r="B36" s="16" t="s">
        <v>51</v>
      </c>
      <c r="C36" s="17">
        <f>SUM(F36:R36)</f>
        <v>58848.3</v>
      </c>
      <c r="D36" s="18">
        <v>1027.4</v>
      </c>
      <c r="E36" s="18">
        <v>0</v>
      </c>
      <c r="F36" s="17">
        <v>0</v>
      </c>
      <c r="G36" s="17">
        <v>3700.4</v>
      </c>
      <c r="H36" s="17">
        <v>2835.1</v>
      </c>
      <c r="I36" s="17">
        <v>891.4</v>
      </c>
      <c r="J36" s="17">
        <v>1937</v>
      </c>
      <c r="K36" s="17">
        <v>2091.7</v>
      </c>
      <c r="L36" s="17">
        <v>3199.9</v>
      </c>
      <c r="M36" s="17">
        <v>4342.3</v>
      </c>
      <c r="N36" s="17">
        <v>4692.2</v>
      </c>
      <c r="O36" s="17">
        <v>4727.3</v>
      </c>
      <c r="P36" s="17">
        <v>5472.3</v>
      </c>
      <c r="Q36" s="17">
        <v>5804</v>
      </c>
      <c r="R36" s="31">
        <v>19154.7</v>
      </c>
      <c r="S36" s="21"/>
      <c r="T36" s="5"/>
      <c r="U36" s="30"/>
    </row>
    <row r="37" spans="2:21" ht="12.75" customHeight="1">
      <c r="B37" s="16" t="s">
        <v>29</v>
      </c>
      <c r="C37" s="17">
        <v>3700.4</v>
      </c>
      <c r="D37" s="18"/>
      <c r="E37" s="18"/>
      <c r="F37" s="17"/>
      <c r="G37" s="17">
        <v>3700.4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"/>
      <c r="T37" s="5"/>
      <c r="U37" s="30"/>
    </row>
    <row r="38" spans="2:21" ht="22.5">
      <c r="B38" s="16" t="s">
        <v>50</v>
      </c>
      <c r="C38" s="17" t="s">
        <v>26</v>
      </c>
      <c r="D38" s="18">
        <v>3102</v>
      </c>
      <c r="E38" s="18">
        <v>0</v>
      </c>
      <c r="F38" s="17">
        <v>0</v>
      </c>
      <c r="G38" s="17">
        <v>0</v>
      </c>
      <c r="H38" s="17">
        <f aca="true" t="shared" si="9" ref="H38:R38">H16*(pv-1)</f>
        <v>2746.1649999999413</v>
      </c>
      <c r="I38" s="17">
        <f t="shared" si="9"/>
        <v>2743.005608333275</v>
      </c>
      <c r="J38" s="17">
        <f t="shared" si="9"/>
        <v>2743.451308333275</v>
      </c>
      <c r="K38" s="17">
        <f t="shared" si="9"/>
        <v>2744.419808333275</v>
      </c>
      <c r="L38" s="17">
        <f t="shared" si="9"/>
        <v>2745.465658333275</v>
      </c>
      <c r="M38" s="17">
        <f t="shared" si="9"/>
        <v>2747.065608333275</v>
      </c>
      <c r="N38" s="17">
        <f t="shared" si="9"/>
        <v>2749.236758333275</v>
      </c>
      <c r="O38" s="17">
        <f t="shared" si="9"/>
        <v>2751.582858333275</v>
      </c>
      <c r="P38" s="17">
        <f t="shared" si="9"/>
        <v>2753.9465083332752</v>
      </c>
      <c r="Q38" s="17">
        <f t="shared" si="9"/>
        <v>2756.682658333275</v>
      </c>
      <c r="R38" s="17">
        <f t="shared" si="9"/>
        <v>2759.584658333275</v>
      </c>
      <c r="S38" s="6"/>
      <c r="T38" s="5"/>
      <c r="U38" s="5"/>
    </row>
    <row r="39" spans="2:21" ht="31.5" customHeight="1">
      <c r="B39" s="16" t="s">
        <v>54</v>
      </c>
      <c r="C39" s="17" t="s">
        <v>26</v>
      </c>
      <c r="D39" s="18">
        <v>6204</v>
      </c>
      <c r="E39" s="18">
        <v>0</v>
      </c>
      <c r="F39" s="17">
        <v>40000</v>
      </c>
      <c r="G39" s="17">
        <v>615.58</v>
      </c>
      <c r="H39" s="17">
        <f>H16*0.01/12*2</f>
        <v>915.3883333333333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3"/>
      <c r="T39" s="5"/>
      <c r="U39" s="5"/>
    </row>
    <row r="40" spans="2:21" ht="33.75">
      <c r="B40" s="16" t="s">
        <v>41</v>
      </c>
      <c r="C40" s="17" t="s">
        <v>26</v>
      </c>
      <c r="D40" s="18">
        <v>1682004</v>
      </c>
      <c r="E40" s="18">
        <v>1760569.9</v>
      </c>
      <c r="F40" s="17">
        <v>1841300</v>
      </c>
      <c r="G40" s="17">
        <v>1895600</v>
      </c>
      <c r="H40" s="17">
        <f aca="true" t="shared" si="10" ref="H40:R40">H18+H39</f>
        <v>1896515.3883333334</v>
      </c>
      <c r="I40" s="17">
        <f t="shared" si="10"/>
        <v>1896515.3883333334</v>
      </c>
      <c r="J40" s="17">
        <f t="shared" si="10"/>
        <v>1896515.3883333334</v>
      </c>
      <c r="K40" s="17">
        <f t="shared" si="10"/>
        <v>1896515.3883333334</v>
      </c>
      <c r="L40" s="17">
        <f t="shared" si="10"/>
        <v>1896515.3883333334</v>
      </c>
      <c r="M40" s="17">
        <f t="shared" si="10"/>
        <v>1896515.3883333334</v>
      </c>
      <c r="N40" s="17">
        <f t="shared" si="10"/>
        <v>1896515.3883333334</v>
      </c>
      <c r="O40" s="17">
        <f t="shared" si="10"/>
        <v>1896515.3883333334</v>
      </c>
      <c r="P40" s="17">
        <f t="shared" si="10"/>
        <v>1896515.3883333334</v>
      </c>
      <c r="Q40" s="17">
        <f t="shared" si="10"/>
        <v>1896515.3883333334</v>
      </c>
      <c r="R40" s="17">
        <f t="shared" si="10"/>
        <v>1896515.3883333334</v>
      </c>
      <c r="S40" s="3"/>
      <c r="T40" s="5"/>
      <c r="U40" s="5"/>
    </row>
    <row r="41" spans="1:21" ht="32.25" customHeight="1">
      <c r="A41" s="8"/>
      <c r="B41" s="16" t="s">
        <v>35</v>
      </c>
      <c r="C41" s="17" t="s">
        <v>26</v>
      </c>
      <c r="D41" s="18">
        <v>614252.89</v>
      </c>
      <c r="E41" s="18">
        <v>575833.3</v>
      </c>
      <c r="F41" s="17">
        <v>545733</v>
      </c>
      <c r="G41" s="17">
        <v>549233</v>
      </c>
      <c r="H41" s="17">
        <f aca="true" t="shared" si="11" ref="H41:R41">H16-H36-H39+H33</f>
        <v>548601.1216666667</v>
      </c>
      <c r="I41" s="17">
        <f t="shared" si="11"/>
        <v>548690.2616666667</v>
      </c>
      <c r="J41" s="17">
        <f t="shared" si="11"/>
        <v>548883.9616666667</v>
      </c>
      <c r="K41" s="17">
        <f t="shared" si="11"/>
        <v>549093.1316666667</v>
      </c>
      <c r="L41" s="17">
        <f t="shared" si="11"/>
        <v>549413.1216666667</v>
      </c>
      <c r="M41" s="17">
        <f t="shared" si="11"/>
        <v>549847.3516666667</v>
      </c>
      <c r="N41" s="17">
        <f t="shared" si="11"/>
        <v>550316.5716666668</v>
      </c>
      <c r="O41" s="17">
        <f t="shared" si="11"/>
        <v>550789.3016666668</v>
      </c>
      <c r="P41" s="17">
        <f t="shared" si="11"/>
        <v>551336.5316666667</v>
      </c>
      <c r="Q41" s="17">
        <f t="shared" si="11"/>
        <v>551916.9316666668</v>
      </c>
      <c r="R41" s="17">
        <f t="shared" si="11"/>
        <v>553832.4016666668</v>
      </c>
      <c r="S41" s="3"/>
      <c r="T41" s="5"/>
      <c r="U41" s="5"/>
    </row>
    <row r="42" spans="1:21" s="8" customFormat="1" ht="39.75" customHeight="1">
      <c r="A42"/>
      <c r="B42" s="16" t="s">
        <v>36</v>
      </c>
      <c r="C42" s="17" t="s">
        <v>26</v>
      </c>
      <c r="D42" s="18">
        <v>60926</v>
      </c>
      <c r="E42" s="18">
        <v>58848.3</v>
      </c>
      <c r="F42" s="17">
        <f>ROUND(F14-F36+F38,0)+0.3</f>
        <v>58848.3</v>
      </c>
      <c r="G42" s="17">
        <f aca="true" t="shared" si="12" ref="G42:R42">ROUND(G14-G36+G38,0)</f>
        <v>55148</v>
      </c>
      <c r="H42" s="17">
        <f t="shared" si="12"/>
        <v>55059</v>
      </c>
      <c r="I42" s="17">
        <f t="shared" si="12"/>
        <v>56911</v>
      </c>
      <c r="J42" s="17">
        <f t="shared" si="12"/>
        <v>57717</v>
      </c>
      <c r="K42" s="17">
        <f t="shared" si="12"/>
        <v>58370</v>
      </c>
      <c r="L42" s="17">
        <f t="shared" si="12"/>
        <v>57916</v>
      </c>
      <c r="M42" s="17">
        <f t="shared" si="12"/>
        <v>56321</v>
      </c>
      <c r="N42" s="17">
        <f t="shared" si="12"/>
        <v>54378</v>
      </c>
      <c r="O42" s="17">
        <f t="shared" si="12"/>
        <v>52402</v>
      </c>
      <c r="P42" s="17">
        <f t="shared" si="12"/>
        <v>49684</v>
      </c>
      <c r="Q42" s="17">
        <f t="shared" si="12"/>
        <v>46637</v>
      </c>
      <c r="R42" s="17">
        <f t="shared" si="12"/>
        <v>30242</v>
      </c>
      <c r="S42" s="7"/>
      <c r="T42" s="32"/>
      <c r="U42" s="32"/>
    </row>
    <row r="43" spans="2:18" ht="12.75">
      <c r="B43" s="33" t="s">
        <v>38</v>
      </c>
      <c r="C43" s="33"/>
      <c r="D43" s="35"/>
      <c r="E43" s="3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2:18" ht="22.5" customHeight="1">
      <c r="B44" s="50" t="s">
        <v>45</v>
      </c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5"/>
    </row>
    <row r="45" spans="2:18" ht="15" customHeight="1">
      <c r="B45" s="48" t="s">
        <v>56</v>
      </c>
      <c r="C45" s="48"/>
      <c r="D45" s="49"/>
      <c r="E45" s="49"/>
      <c r="F45" s="49"/>
      <c r="G45" s="49"/>
      <c r="H45" s="49"/>
      <c r="I45" s="34"/>
      <c r="J45" s="34"/>
      <c r="K45" s="34"/>
      <c r="L45" s="34"/>
      <c r="M45" s="34"/>
      <c r="N45" s="34"/>
      <c r="O45" s="34"/>
      <c r="P45" s="34"/>
      <c r="Q45" s="34"/>
      <c r="R45" s="9"/>
    </row>
    <row r="46" spans="2:17" ht="14.25" customHeight="1">
      <c r="B46" s="50" t="s">
        <v>37</v>
      </c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"/>
      <c r="B47" s="46" t="s">
        <v>55</v>
      </c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</sheetData>
  <mergeCells count="16">
    <mergeCell ref="B47:Q47"/>
    <mergeCell ref="B45:H45"/>
    <mergeCell ref="B46:Q46"/>
    <mergeCell ref="B8:Q8"/>
    <mergeCell ref="B9:R9"/>
    <mergeCell ref="D13:E13"/>
    <mergeCell ref="B44:R44"/>
    <mergeCell ref="D11:E11"/>
    <mergeCell ref="F12:R12"/>
    <mergeCell ref="D10:R10"/>
    <mergeCell ref="K1:R1"/>
    <mergeCell ref="N6:O6"/>
    <mergeCell ref="C10:C12"/>
    <mergeCell ref="B10:B12"/>
    <mergeCell ref="K6:M6"/>
    <mergeCell ref="K2:R2"/>
  </mergeCells>
  <printOptions/>
  <pageMargins left="0.1968503937007874" right="0.1968503937007874" top="1.1811023622047245" bottom="0.3937007874015748" header="0.9055118110236221" footer="0.3937007874015748"/>
  <pageSetup firstPageNumber="5" useFirstPageNumber="1" horizontalDpi="600" verticalDpi="600" orientation="landscape" paperSize="9" scale="8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Naumova</cp:lastModifiedBy>
  <cp:lastPrinted>2009-04-20T04:27:24Z</cp:lastPrinted>
  <dcterms:created xsi:type="dcterms:W3CDTF">2007-02-06T05:38:53Z</dcterms:created>
  <dcterms:modified xsi:type="dcterms:W3CDTF">2009-04-27T06:38:13Z</dcterms:modified>
  <cp:category/>
  <cp:version/>
  <cp:contentType/>
  <cp:contentStatus/>
</cp:coreProperties>
</file>