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165" windowHeight="9090" activeTab="0"/>
  </bookViews>
  <sheets>
    <sheet name="Лист2" sheetId="1" r:id="rId1"/>
  </sheets>
  <definedNames>
    <definedName name="_xlnm.Print_Titles" localSheetId="0">'Лист2'!$10:$11</definedName>
    <definedName name="_xlnm.Print_Area" localSheetId="0">'Лист2'!$A$3:$M$227</definedName>
  </definedNames>
  <calcPr fullCalcOnLoad="1"/>
</workbook>
</file>

<file path=xl/comments1.xml><?xml version="1.0" encoding="utf-8"?>
<comments xmlns="http://schemas.openxmlformats.org/spreadsheetml/2006/main">
  <authors>
    <author>Овчинникова А.Н.</author>
  </authors>
  <commentList>
    <comment ref="F107" authorId="0">
      <text>
        <r>
          <rPr>
            <b/>
            <sz val="8"/>
            <rFont val="Tahoma"/>
            <family val="0"/>
          </rPr>
          <t>Овчинникова А.Н.:</t>
        </r>
        <r>
          <rPr>
            <sz val="8"/>
            <rFont val="Tahoma"/>
            <family val="0"/>
          </rPr>
          <t xml:space="preserve">
соц.защ.-2655.4,  СГТИ-155.8</t>
        </r>
      </text>
    </comment>
    <comment ref="F142" authorId="0">
      <text>
        <r>
          <rPr>
            <b/>
            <sz val="8"/>
            <rFont val="Tahoma"/>
            <family val="0"/>
          </rPr>
          <t>Овчинникова А.Н.:</t>
        </r>
        <r>
          <rPr>
            <sz val="8"/>
            <rFont val="Tahoma"/>
            <family val="0"/>
          </rPr>
          <t xml:space="preserve">
рем.лифтов-1200,    к/р.соц.найм-1400</t>
        </r>
      </text>
    </comment>
    <comment ref="F143" authorId="0">
      <text>
        <r>
          <rPr>
            <b/>
            <sz val="8"/>
            <rFont val="Tahoma"/>
            <family val="0"/>
          </rPr>
          <t>Овчинникова А.Н.:</t>
        </r>
        <r>
          <rPr>
            <sz val="8"/>
            <rFont val="Tahoma"/>
            <family val="0"/>
          </rPr>
          <t xml:space="preserve">
комп.нефть-936,прогр.инфр.-900, 90% -28322,благоустр -8853</t>
        </r>
      </text>
    </comment>
    <comment ref="F158" authorId="0">
      <text>
        <r>
          <rPr>
            <b/>
            <sz val="8"/>
            <rFont val="Tahoma"/>
            <family val="0"/>
          </rPr>
          <t>Овчинникова А.Н.:</t>
        </r>
        <r>
          <rPr>
            <sz val="8"/>
            <rFont val="Tahoma"/>
            <family val="0"/>
          </rPr>
          <t xml:space="preserve">
приемные семьи-39,9,кл.руков-6780,к/р соц.сферы-9376,лидер-1000,№195-2415,9, № 82-3207,6,СПК-1369</t>
        </r>
      </text>
    </comment>
    <comment ref="F171" authorId="0">
      <text>
        <r>
          <rPr>
            <b/>
            <sz val="8"/>
            <rFont val="Tahoma"/>
            <family val="0"/>
          </rPr>
          <t>Овчинникова А.Н.:</t>
        </r>
        <r>
          <rPr>
            <sz val="8"/>
            <rFont val="Tahoma"/>
            <family val="0"/>
          </rPr>
          <t xml:space="preserve">
стимул-1155,библ.фонд-62,муз.инстр.36, сев.мерд-149,2</t>
        </r>
      </text>
    </comment>
    <comment ref="F196" authorId="0">
      <text>
        <r>
          <rPr>
            <b/>
            <sz val="8"/>
            <rFont val="Tahoma"/>
            <family val="0"/>
          </rPr>
          <t>Овчинникова А.Н.:</t>
        </r>
        <r>
          <rPr>
            <sz val="8"/>
            <rFont val="Tahoma"/>
            <family val="0"/>
          </rPr>
          <t xml:space="preserve">
соц.учр.-5383,6, субсидии-2230,дети-280,соц.пом-130,дети-127.меропр.1383, льготы ЖКУ-4902,3</t>
        </r>
      </text>
    </comment>
  </commentList>
</comments>
</file>

<file path=xl/sharedStrings.xml><?xml version="1.0" encoding="utf-8"?>
<sst xmlns="http://schemas.openxmlformats.org/spreadsheetml/2006/main" count="231" uniqueCount="190">
  <si>
    <t>Приложение 1 к Решению</t>
  </si>
  <si>
    <t>Думы ЗАТО Северск</t>
  </si>
  <si>
    <t>от_______2006          №______</t>
  </si>
  <si>
    <t>Проект бюджета ЗАТО Северск на 2007 год  в первом чтении</t>
  </si>
  <si>
    <t>Средства областного бюджета</t>
  </si>
  <si>
    <t>Средства местного бюджета</t>
  </si>
  <si>
    <t>ИТОГО ожидаемое исполнение 2006г.</t>
  </si>
  <si>
    <t>минус расходы (из2006 г)которых не будет в 2007</t>
  </si>
  <si>
    <t>ИТОГО проект 2007 г</t>
  </si>
  <si>
    <t>% роста 2007 к ожид.                 2006</t>
  </si>
  <si>
    <t>Доходы без учета финансовой помощи из областного бюджета - всего</t>
  </si>
  <si>
    <t>в т.ч. Доходы без предпринимательской деятельности</t>
  </si>
  <si>
    <t>в том числе:</t>
  </si>
  <si>
    <t>Налог на доходы физических лиц
(с учетом дополнительного норматива)</t>
  </si>
  <si>
    <t>из него:
НДФЛ по нормативам, утвержденным Бюджетным кодексом РФ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</si>
  <si>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</si>
  <si>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</si>
  <si>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</si>
  <si>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</si>
  <si>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</si>
  <si>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</si>
  <si>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</si>
  <si>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>земельный налог (по обязательства, возникшим до 1 января 2006 года)</t>
  </si>
  <si>
    <t>прочая задолженность по остальным отмененным налогам и сборам</t>
  </si>
  <si>
    <t>Доходы от использования имущества, находящегося в государственной и муниципальной собственности, в том числе:</t>
  </si>
  <si>
    <t>арендная плата за земли</t>
  </si>
  <si>
    <t>прочие доходы от сдачи в аренду имущества, находящегося в государственной и муниципальной собственности</t>
  </si>
  <si>
    <t>плата за найм жилых помещений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</si>
  <si>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</si>
  <si>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</si>
  <si>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</si>
  <si>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</si>
  <si>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</si>
  <si>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</si>
  <si>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 xml:space="preserve">Доходы бюджетов городских округов от возврата остатка субсидий и субвенций прошлых лет </t>
  </si>
  <si>
    <t>Доходы от предпринимательской и иной приносящей доход деятельности</t>
  </si>
  <si>
    <t>Безвозмездные поступления из областного  бюджета</t>
  </si>
  <si>
    <t>в т.ч.</t>
  </si>
  <si>
    <t xml:space="preserve">Дотации бюджетам ЗАТО </t>
  </si>
  <si>
    <t>Субвенции на переселение граждан закрытых административно-территориальных образований</t>
  </si>
  <si>
    <t>Субвенции на развитие социальной и инженерной инфраструктуры закрытых административно-территориальных образований</t>
  </si>
  <si>
    <t>Итого по безвозмездным перечислениям из областного бюджета за счет средств ФБ</t>
  </si>
  <si>
    <t>Дотация на выравниивание уровня бюджетной обеспеченности</t>
  </si>
  <si>
    <t>Областной фонд финансовой поддержки поселений</t>
  </si>
  <si>
    <t xml:space="preserve">Дотация на поддержку мер по обеспечению сбалансированности бюджета ЗАТО </t>
  </si>
  <si>
    <t>Дотации бюджетам городских округов на поддержку мер по обеспечению сбалансированности бюджетов (на возмещение расходов в связи с изменением тарифов на электроэнергию по населению и организациям бюджетной сферы)</t>
  </si>
  <si>
    <t>Областной фонд компенсаций</t>
  </si>
  <si>
    <t xml:space="preserve">         Субвенция из областного фонда компенсаций бюджетам муниципальных районов на исполнение государственных полномочий по расчету и предоставлению дотаций поселениям</t>
  </si>
  <si>
    <t xml:space="preserve">          Субвенции на выплату надбавок к тарифной  ставке (должностному окладу) педагогическим работникам и руководителям муниципальных образовательных учреждений в соответствии с Законом  Томской  области  от 12.11.2001 № 119-ОЗ "Об  образовании  в Томс</t>
  </si>
  <si>
    <t xml:space="preserve">          Субвенции  на ежемесячную выплату  денежных средств опекунам  (попечителям) на содержание детей </t>
  </si>
  <si>
    <t xml:space="preserve">            Субвенция на содержание приемных семей</t>
  </si>
  <si>
    <t xml:space="preserve">            Субвенции на создание и обеспечение деятельности  комиссий по делам несовершеннолетних и защите их прав</t>
  </si>
  <si>
    <t xml:space="preserve">        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 </t>
  </si>
  <si>
    <t xml:space="preserve">           Субвенции на осуществление государственных полномочий по регулированию тарифов на перевозки пассажиров и багажа всеми видами общественного транспорта в  городском и пригородном сообщении (кроме железнодорожного транспорта) в границах муниципаль</t>
  </si>
  <si>
    <t xml:space="preserve">Субвенция на осуществление отдельных государственных полномочий по расчету и предоставлению ежемесячной компенсационной выплаты на оплату площади жилого помещения и ежегодной денежной выплаты на приобретение и доставку твердого топлива </t>
  </si>
  <si>
    <t>Субвенции на осуществление государственных полномочий Томской области по хранению, комплектованию, учету и использованию документов архивных фондов Томской области</t>
  </si>
  <si>
    <t>Иные субвенции</t>
  </si>
  <si>
    <t>Субвенции на обеспечение гос гарантий  прав граждан на получение общедоступного общего образования</t>
  </si>
  <si>
    <t>в т.ч. на выплату заработной платы работникам образования</t>
  </si>
  <si>
    <t xml:space="preserve">           на книгоиздательскую продукцию</t>
  </si>
  <si>
    <t xml:space="preserve">           на прочие текущие расходы</t>
  </si>
  <si>
    <t>Субвенция на ежемесячное вознаграждение за классное руководство</t>
  </si>
  <si>
    <t>Субвенции на доплаты к ежемесчячному денежному вознаграждению за классное руководство с наполняемостью свыше 25 человек</t>
  </si>
  <si>
    <t>Субвенции на выплату адресных субсидий на оплату ЖКУ</t>
  </si>
  <si>
    <t>Субвенции на компенсацию расходов по организации теплоснабжения энергоснабжающим организациям</t>
  </si>
  <si>
    <t>Субвенции на возмещение расходов при установлении уровня оплаты населением услуг по теплоснабжению в размере 90 %</t>
  </si>
  <si>
    <t>Субвенция на реализацию областной целевой программы "Развитие физической культуры и спорта в Томской области на 2006-2008 годы"</t>
  </si>
  <si>
    <t>Субвенция на разработку муниципальных программ комплексного развития систем коммунальной инфраструктуры поселений и разработку технических заданий для инвестиционных программ организаций коммунального комлекса</t>
  </si>
  <si>
    <t>Субвенции для установления стимулирующих выплат работникам муниципальных учреждений</t>
  </si>
  <si>
    <t>Субвенции на содержание, реконструкцию, ремонт и  строительство автомобильных дорог общего пользования, мостов и иных транспортных инженерных сооружений</t>
  </si>
  <si>
    <t>в т.ч. в границах населенных пунктов поселений</t>
  </si>
  <si>
    <t>Субвенции на осуществление денежных выплат медицинскому персоналу фельдшерско-акушерских пунктов, врачам, фельдшерам и медицинским сестрам скорой медицинской помощи</t>
  </si>
  <si>
    <t>Субвенции на организацию общих врачебных практик на территории Томской области</t>
  </si>
  <si>
    <t>Субвенции на обеспечение предоставления субсидий гражданам на оплату жилищного помещения и коммунальных услуг</t>
  </si>
  <si>
    <t>Прочие субсидии из областного Фонда софинансирования социальных расходов</t>
  </si>
  <si>
    <t>Субсидии на комплектование библиотечных фондов библиотек муниципальных образований</t>
  </si>
  <si>
    <t>Субсидии на приобретение для муниципальных учреждений культуры клубного типа специализированного оборудования и музыкальных инструментов</t>
  </si>
  <si>
    <t>Субсидии на ремонт муниципальных объектов социальной сферы</t>
  </si>
  <si>
    <t>Субсидии на благоустройство внутриквартальных территорий</t>
  </si>
  <si>
    <t>Субсидии на оплату работ по капитальному ремонту жилых помещений, занимаемых малоимущими гражданами на основании договоров социального найма</t>
  </si>
  <si>
    <t>Субсидии на модернизацию лифтов в домах жилищного фонда</t>
  </si>
  <si>
    <t>Субсидии на поддержку общеобразовательных учреждений, внедряющих инновационные образовательные программы</t>
  </si>
  <si>
    <t>Субсидии на реализацию мероприятий областной целевой программы "Развитие физической культуры и спорта в Томской области на 2006-2008 годы"</t>
  </si>
  <si>
    <t xml:space="preserve">Безвозмездные поступления из местных бюджетов </t>
  </si>
  <si>
    <t>в т.ч:</t>
  </si>
  <si>
    <t>РФФПП</t>
  </si>
  <si>
    <t>Иные субвенции, субсидии</t>
  </si>
  <si>
    <t>Доходы - всего</t>
  </si>
  <si>
    <t>контроль-субвенции и субсидии</t>
  </si>
  <si>
    <t>Расходы -  всего</t>
  </si>
  <si>
    <t xml:space="preserve">в т.ч. </t>
  </si>
  <si>
    <t>средства обл.бюдж.</t>
  </si>
  <si>
    <t>Средства местного</t>
  </si>
  <si>
    <t>итого</t>
  </si>
  <si>
    <t>Средства обл.бюдж.</t>
  </si>
  <si>
    <t xml:space="preserve">1.За счет  средств областного бюджета </t>
  </si>
  <si>
    <t>Общегосударственные расходы</t>
  </si>
  <si>
    <t>2.Расходы за счет собственных доходов местного бюджета по вопросам местного значения</t>
  </si>
  <si>
    <t>в т.ч.по подразделам</t>
  </si>
  <si>
    <t>функционирование законодательных органов  местного самоуправления</t>
  </si>
  <si>
    <t>функционирование местных администраций</t>
  </si>
  <si>
    <t>обеспечение деятельности финансовых,налоговых и таможенных органов</t>
  </si>
  <si>
    <t>обслуживание муниципального долга</t>
  </si>
  <si>
    <t>резервные фонды</t>
  </si>
  <si>
    <t>другие общегосударственные вопросы</t>
  </si>
  <si>
    <t xml:space="preserve">Национальная оборона </t>
  </si>
  <si>
    <t>мобилизационная и вневойсковая подготовка</t>
  </si>
  <si>
    <t>Национальная безопасность и правоохранительная деятельность</t>
  </si>
  <si>
    <t>УВД, Медвытрезвитель</t>
  </si>
  <si>
    <t>Предупреждение и ликвидация последствий ЧС и стихийных бедствий</t>
  </si>
  <si>
    <t>Обеспечение противопожарной безопасности</t>
  </si>
  <si>
    <t>Национальная экономика</t>
  </si>
  <si>
    <t>.Расходы за счет собственных доходов местного бюджета по вопросам местного значения</t>
  </si>
  <si>
    <t>сельское хозяйство и рыболовство (кред.зад.по горветуправлению)</t>
  </si>
  <si>
    <t>лесное хозяйство</t>
  </si>
  <si>
    <t>транспорт</t>
  </si>
  <si>
    <t>связь, информатика</t>
  </si>
  <si>
    <t>другие вопросы в области нац.экономики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</si>
  <si>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</si>
  <si>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</si>
  <si>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</si>
  <si>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ЖКХ</t>
  </si>
  <si>
    <t>Охрана окружающей среды</t>
  </si>
  <si>
    <t>охрана растительных и животных видов и среды их обитания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</si>
  <si>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</si>
  <si>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</si>
  <si>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</si>
  <si>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</si>
  <si>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Расходы за счет собственных доходов местного бюджета по вопросам местного значения</t>
  </si>
  <si>
    <t>средне-профессиональное 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</si>
  <si>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</si>
  <si>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</si>
  <si>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культура</t>
  </si>
  <si>
    <t>телевидение и радиовещание</t>
  </si>
  <si>
    <t>периодическая печать и издательства</t>
  </si>
  <si>
    <t>Здравоохранение и спорт</t>
  </si>
  <si>
    <t xml:space="preserve">здравоохранение </t>
  </si>
  <si>
    <t>спорт и физ.культура</t>
  </si>
  <si>
    <t>другие вопросы в области здравоохранения</t>
  </si>
  <si>
    <t xml:space="preserve">Социальная политика 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</si>
  <si>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</si>
  <si>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</si>
  <si>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</si>
  <si>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</si>
  <si>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другие вопросы в области соц.политики</t>
  </si>
  <si>
    <t xml:space="preserve">Межбюджетные трансферты </t>
  </si>
  <si>
    <t xml:space="preserve">дотации из районного фонда финансовой поддержки поселений </t>
  </si>
  <si>
    <t xml:space="preserve">из них:за счет субвенций из областного фонда компенсаций </t>
  </si>
  <si>
    <t>за счет собственных доходов  бюджетов муниципальных районов включая дотации на выравнивание бюджетной обеспеченности из областного фонда ФФП муниципальных районов, городских округов</t>
  </si>
  <si>
    <t xml:space="preserve">Субвенции </t>
  </si>
  <si>
    <t>Программы</t>
  </si>
  <si>
    <t>Целевая программа "Обеспечение безопасности дорожного движения на 2007-2009 годы"</t>
  </si>
  <si>
    <t>Программа профилактики правонарушений</t>
  </si>
  <si>
    <t>Спортивный город</t>
  </si>
  <si>
    <t>8430-в р.09</t>
  </si>
  <si>
    <t>Комплексная программа развития образования городского округа ЗАТО Северск на 2006-2010 годы</t>
  </si>
  <si>
    <t>Предоставление молодым семьям государственной поддержки на приобретение (строительство) жилья на территории Томской области на 2006-2010 годы</t>
  </si>
  <si>
    <t>Развитие физической культуры и спорта в Томской области на 2006-2008 годы</t>
  </si>
  <si>
    <t>Строительство жилья социального назначения и ликвидация ветхого и аварийного жилищного фонда в Томской области в 2006-2010 годах с прогнозом до 2020 года</t>
  </si>
  <si>
    <t>Развитие инновационной деятельности в Томской области на 2006-2008 годы</t>
  </si>
  <si>
    <t>Обеспечение экологической безопасности окружающей среды и населения при обращении с отходами производства и  потребления</t>
  </si>
  <si>
    <t>Декоративно-художественное оформление центральных улиц ЗАТО Северск на 2005-2009 годы</t>
  </si>
  <si>
    <t>Молодежь ЗАТО Северск на 2007</t>
  </si>
  <si>
    <t>Мероприятия в области охраны окружающей среды на 2007 год</t>
  </si>
  <si>
    <t>Развитие  материально-технической базы оздоровительных  лагерей</t>
  </si>
  <si>
    <t>Мероприятия по празднованию 60-летия г.Северска</t>
  </si>
  <si>
    <t>Дефицит (-), профицит (+)</t>
  </si>
  <si>
    <t>Маскаева Людмила Семеновна</t>
  </si>
  <si>
    <t>77 23 83</t>
  </si>
  <si>
    <t>доходы территории</t>
  </si>
  <si>
    <t>можно добавить расходов</t>
  </si>
  <si>
    <t>кредиторская задолженность по р.0502 прибавлена -на убытки по т/э</t>
  </si>
  <si>
    <t>Заместитель Главы Администрации ЗАТО Северск по финансам - начальник Финансового управления</t>
  </si>
  <si>
    <t>раздел</t>
  </si>
  <si>
    <t>приобретение оборуд.</t>
  </si>
  <si>
    <t>кап.ремонт</t>
  </si>
  <si>
    <t>кап.строит. ФБ</t>
  </si>
  <si>
    <t>ФБ</t>
  </si>
  <si>
    <t>ТО</t>
  </si>
  <si>
    <t>МБ</t>
  </si>
  <si>
    <t>раздел 0100</t>
  </si>
  <si>
    <t>раздел 0200</t>
  </si>
  <si>
    <t>раздел 0300</t>
  </si>
  <si>
    <t>раздел 0400</t>
  </si>
  <si>
    <t>раздел 0500</t>
  </si>
  <si>
    <t>раздел 0600</t>
  </si>
  <si>
    <t>раздел 0700</t>
  </si>
  <si>
    <t>раздел 0800</t>
  </si>
  <si>
    <t>раздел 0900</t>
  </si>
  <si>
    <r>
      <t>Примечание</t>
    </r>
    <r>
      <rPr>
        <sz val="12"/>
        <rFont val="Arial"/>
        <family val="2"/>
      </rPr>
      <t>: 42918 т.р.(65207-22109) стоят в разделе 0702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</si>
</sst>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%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16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/>
    </xf>
    <xf numFmtId="164" fontId="4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3" fontId="4" fillId="0" borderId="2" xfId="0" applyNumberFormat="1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164" fontId="5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3" fontId="4" fillId="0" borderId="1" xfId="0" applyNumberFormat="1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164" fontId="4" fillId="0" borderId="2" xfId="0" applyNumberFormat="1" applyFont="1" applyFill="1" applyBorder="1" applyAlignment="1" applyProtection="1">
      <alignment vertical="center" wrapText="1"/>
      <protection/>
    </xf>
    <xf numFmtId="164" fontId="4" fillId="0" borderId="1" xfId="0" applyNumberFormat="1" applyFont="1" applyFill="1" applyBorder="1" applyAlignment="1" applyProtection="1">
      <alignment vertical="center" wrapText="1"/>
      <protection/>
    </xf>
    <xf numFmtId="0" fontId="5" fillId="0" borderId="2" xfId="0" applyNumberFormat="1" applyFont="1" applyFill="1" applyBorder="1" applyAlignment="1" applyProtection="1">
      <alignment vertical="center" wrapText="1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0" fontId="8" fillId="0" borderId="1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3" fontId="5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 quotePrefix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10" fillId="0" borderId="1" xfId="0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 quotePrefix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 quotePrefix="1">
      <alignment horizontal="left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64" fontId="4" fillId="0" borderId="7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3"/>
  <sheetViews>
    <sheetView tabSelected="1" view="pageBreakPreview" zoomScale="75" zoomScaleNormal="75" zoomScaleSheetLayoutView="75" workbookViewId="0" topLeftCell="A1">
      <pane ySplit="3" topLeftCell="BM4" activePane="bottomLeft" state="frozen"/>
      <selection pane="topLeft" activeCell="A1" sqref="A1"/>
      <selection pane="bottomLeft" activeCell="N1" sqref="N1:T16384"/>
    </sheetView>
  </sheetViews>
  <sheetFormatPr defaultColWidth="9.00390625" defaultRowHeight="12.75" outlineLevelRow="1" outlineLevelCol="1"/>
  <cols>
    <col min="1" max="1" width="6.625" style="1" customWidth="1"/>
    <col min="2" max="2" width="40.25390625" style="2" customWidth="1"/>
    <col min="3" max="3" width="11.75390625" style="3" customWidth="1"/>
    <col min="4" max="4" width="13.75390625" style="3" customWidth="1"/>
    <col min="5" max="5" width="13.75390625" style="4" customWidth="1"/>
    <col min="6" max="6" width="12.00390625" style="4" hidden="1" customWidth="1"/>
    <col min="7" max="7" width="12.875" style="4" hidden="1" customWidth="1"/>
    <col min="8" max="8" width="11.75390625" style="3" customWidth="1"/>
    <col min="9" max="9" width="13.75390625" style="5" customWidth="1"/>
    <col min="10" max="10" width="13.75390625" style="3" customWidth="1"/>
    <col min="11" max="11" width="13.25390625" style="6" hidden="1" customWidth="1"/>
    <col min="12" max="12" width="1.875" style="6" hidden="1" customWidth="1"/>
    <col min="13" max="13" width="9.375" style="6" customWidth="1"/>
    <col min="14" max="14" width="13.00390625" style="8" hidden="1" customWidth="1" outlineLevel="1"/>
    <col min="15" max="15" width="18.625" style="8" hidden="1" customWidth="1" outlineLevel="1"/>
    <col min="16" max="16" width="13.625" style="8" hidden="1" customWidth="1" outlineLevel="1"/>
    <col min="17" max="20" width="9.125" style="8" hidden="1" customWidth="1" outlineLevel="1"/>
    <col min="21" max="21" width="9.125" style="8" customWidth="1" collapsed="1"/>
    <col min="22" max="16384" width="9.125" style="8" customWidth="1"/>
  </cols>
  <sheetData>
    <row r="1" ht="15" hidden="1">
      <c r="M1" s="7"/>
    </row>
    <row r="2" spans="4:13" ht="15" hidden="1">
      <c r="D2" s="9"/>
      <c r="E2" s="10"/>
      <c r="F2" s="10"/>
      <c r="G2" s="10"/>
      <c r="H2" s="9"/>
      <c r="I2" s="11"/>
      <c r="J2" s="12"/>
      <c r="K2" s="13"/>
      <c r="L2" s="8"/>
      <c r="M2" s="14"/>
    </row>
    <row r="3" spans="4:13" ht="15" customHeight="1" hidden="1">
      <c r="D3" s="9"/>
      <c r="E3" s="10"/>
      <c r="F3" s="10"/>
      <c r="G3" s="10"/>
      <c r="H3" s="9"/>
      <c r="I3" s="11"/>
      <c r="J3" s="12"/>
      <c r="K3" s="13"/>
      <c r="L3" s="8"/>
      <c r="M3" s="7"/>
    </row>
    <row r="4" spans="4:13" ht="15" customHeight="1">
      <c r="D4" s="9"/>
      <c r="E4" s="10"/>
      <c r="F4" s="10"/>
      <c r="G4" s="10"/>
      <c r="H4" s="9"/>
      <c r="I4" s="15" t="s">
        <v>0</v>
      </c>
      <c r="J4" s="15"/>
      <c r="K4" s="15" t="s">
        <v>0</v>
      </c>
      <c r="L4" s="16"/>
      <c r="M4" s="16"/>
    </row>
    <row r="5" spans="4:13" ht="15" customHeight="1">
      <c r="D5" s="9"/>
      <c r="E5" s="10"/>
      <c r="F5" s="10"/>
      <c r="G5" s="10"/>
      <c r="H5" s="9"/>
      <c r="I5" s="17" t="s">
        <v>1</v>
      </c>
      <c r="J5" s="17"/>
      <c r="K5" s="17" t="s">
        <v>1</v>
      </c>
      <c r="L5" s="18"/>
      <c r="M5" s="18"/>
    </row>
    <row r="6" spans="4:13" ht="15" customHeight="1">
      <c r="D6" s="9"/>
      <c r="E6" s="10"/>
      <c r="F6" s="10"/>
      <c r="G6" s="10"/>
      <c r="H6" s="9"/>
      <c r="I6" s="17" t="s">
        <v>2</v>
      </c>
      <c r="J6" s="17"/>
      <c r="K6" s="19" t="s">
        <v>2</v>
      </c>
      <c r="L6" s="16"/>
      <c r="M6" s="16"/>
    </row>
    <row r="7" spans="4:13" ht="15" customHeight="1" hidden="1">
      <c r="D7" s="9"/>
      <c r="E7" s="10"/>
      <c r="F7" s="10"/>
      <c r="G7" s="10"/>
      <c r="H7" s="9"/>
      <c r="I7" s="11"/>
      <c r="J7" s="12"/>
      <c r="K7" s="13"/>
      <c r="L7" s="8"/>
      <c r="M7" s="7"/>
    </row>
    <row r="8" spans="1:13" s="24" customFormat="1" ht="16.5">
      <c r="A8" s="20"/>
      <c r="B8" s="21"/>
      <c r="C8" s="21"/>
      <c r="D8" s="22" t="s">
        <v>3</v>
      </c>
      <c r="E8" s="23"/>
      <c r="F8" s="23"/>
      <c r="G8" s="23"/>
      <c r="H8" s="23"/>
      <c r="I8" s="23"/>
      <c r="J8" s="23"/>
      <c r="K8" s="23"/>
      <c r="L8" s="21"/>
      <c r="M8" s="21"/>
    </row>
    <row r="9" spans="2:13" ht="15">
      <c r="B9" s="25"/>
      <c r="C9" s="25"/>
      <c r="D9" s="25"/>
      <c r="E9" s="25"/>
      <c r="F9" s="25"/>
      <c r="G9" s="25"/>
      <c r="H9" s="25"/>
      <c r="I9" s="25"/>
      <c r="J9" s="25"/>
      <c r="K9" s="26"/>
      <c r="L9" s="27"/>
      <c r="M9" s="27"/>
    </row>
    <row r="10" spans="1:13" ht="75.75" customHeight="1">
      <c r="A10" s="28"/>
      <c r="B10" s="29"/>
      <c r="C10" s="30" t="s">
        <v>4</v>
      </c>
      <c r="D10" s="30" t="s">
        <v>5</v>
      </c>
      <c r="E10" s="31" t="s">
        <v>6</v>
      </c>
      <c r="F10" s="32" t="s">
        <v>7</v>
      </c>
      <c r="G10" s="32"/>
      <c r="H10" s="30" t="s">
        <v>4</v>
      </c>
      <c r="I10" s="30" t="s">
        <v>5</v>
      </c>
      <c r="J10" s="33" t="s">
        <v>8</v>
      </c>
      <c r="K10" s="34"/>
      <c r="L10" s="34"/>
      <c r="M10" s="30" t="s">
        <v>9</v>
      </c>
    </row>
    <row r="11" spans="1:13" ht="15">
      <c r="A11" s="35">
        <v>1</v>
      </c>
      <c r="B11" s="36">
        <v>2</v>
      </c>
      <c r="C11" s="37">
        <v>3</v>
      </c>
      <c r="D11" s="37">
        <v>4</v>
      </c>
      <c r="E11" s="38">
        <v>5</v>
      </c>
      <c r="F11" s="38"/>
      <c r="G11" s="38"/>
      <c r="H11" s="37">
        <v>6</v>
      </c>
      <c r="I11" s="37">
        <v>7</v>
      </c>
      <c r="J11" s="37">
        <v>8</v>
      </c>
      <c r="K11" s="39">
        <v>8</v>
      </c>
      <c r="L11" s="39">
        <v>9</v>
      </c>
      <c r="M11" s="39">
        <v>9</v>
      </c>
    </row>
    <row r="12" spans="1:13" s="42" customFormat="1" ht="47.25">
      <c r="A12" s="35"/>
      <c r="B12" s="40" t="s">
        <v>10</v>
      </c>
      <c r="C12" s="41"/>
      <c r="D12" s="41"/>
      <c r="E12" s="41">
        <f>E15+E17+E18+E19+E20+E21+E22+E27+E31+E32+E33+E34+E35+E36+E37+E38</f>
        <v>523050.8</v>
      </c>
      <c r="F12" s="41"/>
      <c r="G12" s="41"/>
      <c r="H12" s="41"/>
      <c r="I12" s="41"/>
      <c r="J12" s="41">
        <f>J15+J17+J18+J19+J20+J21+J22+J27+J31+J32+J33+J34+J35+J36+J37+J38</f>
        <v>631912.6</v>
      </c>
      <c r="K12" s="41"/>
      <c r="L12" s="41"/>
      <c r="M12" s="41">
        <f>IF(E12&lt;&gt;0,IF(J12&lt;&gt;0,J12/E12*100,0),0)</f>
        <v>120.81285412430303</v>
      </c>
    </row>
    <row r="13" spans="1:13" s="42" customFormat="1" ht="31.5">
      <c r="A13" s="35"/>
      <c r="B13" s="40" t="s">
        <v>11</v>
      </c>
      <c r="C13" s="41"/>
      <c r="D13" s="41"/>
      <c r="E13" s="41">
        <f>E12-E38</f>
        <v>444550.8</v>
      </c>
      <c r="F13" s="41"/>
      <c r="G13" s="41"/>
      <c r="H13" s="41"/>
      <c r="I13" s="41"/>
      <c r="J13" s="41">
        <f>J12-J38</f>
        <v>530205</v>
      </c>
      <c r="K13" s="41"/>
      <c r="L13" s="41"/>
      <c r="M13" s="41">
        <f>IF(E13&lt;&gt;0,IF(J13&lt;&gt;0,J13/E13*100,0),0)</f>
        <v>119.26758426708489</v>
      </c>
    </row>
    <row r="14" spans="1:13" s="42" customFormat="1" ht="15.75">
      <c r="A14" s="35"/>
      <c r="B14" s="43" t="s">
        <v>12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1"/>
    </row>
    <row r="15" spans="1:13" ht="45">
      <c r="A15" s="45"/>
      <c r="B15" s="43" t="s">
        <v>13</v>
      </c>
      <c r="C15" s="44"/>
      <c r="D15" s="44"/>
      <c r="E15" s="44">
        <v>234000</v>
      </c>
      <c r="F15" s="44"/>
      <c r="G15" s="44"/>
      <c r="H15" s="44"/>
      <c r="I15" s="44"/>
      <c r="J15" s="44">
        <v>356128.2</v>
      </c>
      <c r="K15" s="44"/>
      <c r="L15" s="44"/>
      <c r="M15" s="44">
        <f aca="true" t="shared" si="0" ref="M15:M22">IF(E15&lt;&gt;0,IF(J15&lt;&gt;0,J15/E15*100,0),0)</f>
        <v>152.19153846153844</v>
      </c>
    </row>
    <row r="16" spans="1:13" ht="45">
      <c r="A16" s="45"/>
      <c r="B16" s="43" t="s">
        <v>14</v>
      </c>
      <c r="C16" s="44"/>
      <c r="D16" s="44"/>
      <c r="E16" s="44">
        <f>E15*30/33</f>
        <v>212727.27272727274</v>
      </c>
      <c r="F16" s="44"/>
      <c r="G16" s="44"/>
      <c r="H16" s="44"/>
      <c r="I16" s="44"/>
      <c r="J16" s="44">
        <f>J15*30/48</f>
        <v>222580.125</v>
      </c>
      <c r="K16" s="44"/>
      <c r="L16" s="44"/>
      <c r="M16" s="44">
        <f t="shared" si="0"/>
        <v>104.63168269230769</v>
      </c>
    </row>
    <row r="17" spans="1:13" ht="30">
      <c r="A17" s="45"/>
      <c r="B17" s="43" t="s">
        <v>15</v>
      </c>
      <c r="C17" s="44"/>
      <c r="D17" s="44"/>
      <c r="E17" s="44">
        <v>30791</v>
      </c>
      <c r="F17" s="44"/>
      <c r="G17" s="44"/>
      <c r="H17" s="44"/>
      <c r="I17" s="44"/>
      <c r="J17" s="44">
        <v>35221</v>
      </c>
      <c r="K17" s="44"/>
      <c r="L17" s="44"/>
      <c r="M17" s="44">
        <f t="shared" si="0"/>
        <v>114.38732097041344</v>
      </c>
    </row>
    <row r="18" spans="1:13" ht="18" customHeight="1">
      <c r="A18" s="45"/>
      <c r="B18" s="46" t="s">
        <v>16</v>
      </c>
      <c r="C18" s="44"/>
      <c r="D18" s="44"/>
      <c r="E18" s="44">
        <v>65</v>
      </c>
      <c r="F18" s="44"/>
      <c r="G18" s="44"/>
      <c r="H18" s="44"/>
      <c r="I18" s="44"/>
      <c r="J18" s="44">
        <v>71</v>
      </c>
      <c r="K18" s="44"/>
      <c r="L18" s="44"/>
      <c r="M18" s="44">
        <f t="shared" si="0"/>
        <v>109.23076923076923</v>
      </c>
    </row>
    <row r="19" spans="1:13" ht="30">
      <c r="A19" s="45"/>
      <c r="B19" s="47" t="s">
        <v>17</v>
      </c>
      <c r="C19" s="44"/>
      <c r="D19" s="44"/>
      <c r="E19" s="44">
        <v>5010</v>
      </c>
      <c r="F19" s="44"/>
      <c r="G19" s="44"/>
      <c r="H19" s="44"/>
      <c r="I19" s="44"/>
      <c r="J19" s="44">
        <v>5743</v>
      </c>
      <c r="K19" s="44"/>
      <c r="L19" s="44"/>
      <c r="M19" s="44">
        <f t="shared" si="0"/>
        <v>114.63073852295409</v>
      </c>
    </row>
    <row r="20" spans="1:13" ht="15">
      <c r="A20" s="45"/>
      <c r="B20" s="47" t="s">
        <v>18</v>
      </c>
      <c r="C20" s="44"/>
      <c r="D20" s="44"/>
      <c r="E20" s="44">
        <v>16121</v>
      </c>
      <c r="F20" s="44"/>
      <c r="G20" s="44"/>
      <c r="H20" s="44"/>
      <c r="I20" s="44"/>
      <c r="J20" s="44">
        <v>19858.2</v>
      </c>
      <c r="K20" s="44"/>
      <c r="L20" s="44"/>
      <c r="M20" s="44">
        <f t="shared" si="0"/>
        <v>123.18218472799454</v>
      </c>
    </row>
    <row r="21" spans="1:13" ht="15">
      <c r="A21" s="45"/>
      <c r="B21" s="43" t="s">
        <v>19</v>
      </c>
      <c r="C21" s="44"/>
      <c r="D21" s="44"/>
      <c r="E21" s="44">
        <v>6522</v>
      </c>
      <c r="F21" s="44"/>
      <c r="G21" s="44"/>
      <c r="H21" s="44"/>
      <c r="I21" s="44"/>
      <c r="J21" s="44">
        <v>7089</v>
      </c>
      <c r="K21" s="44"/>
      <c r="L21" s="44"/>
      <c r="M21" s="44">
        <f t="shared" si="0"/>
        <v>108.69365225390983</v>
      </c>
    </row>
    <row r="22" spans="1:13" ht="45">
      <c r="A22" s="45"/>
      <c r="B22" s="43" t="s">
        <v>20</v>
      </c>
      <c r="C22" s="44"/>
      <c r="D22" s="44"/>
      <c r="E22" s="44">
        <v>385</v>
      </c>
      <c r="F22" s="44"/>
      <c r="G22" s="44"/>
      <c r="H22" s="44"/>
      <c r="I22" s="44"/>
      <c r="J22" s="44">
        <f>J24+J25+J26</f>
        <v>396.29999999999995</v>
      </c>
      <c r="K22" s="44"/>
      <c r="L22" s="44"/>
      <c r="M22" s="44">
        <f t="shared" si="0"/>
        <v>102.93506493506493</v>
      </c>
    </row>
    <row r="23" spans="1:13" ht="15.75">
      <c r="A23" s="45"/>
      <c r="B23" s="43" t="s">
        <v>12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1"/>
    </row>
    <row r="24" spans="1:13" ht="75">
      <c r="A24" s="45"/>
      <c r="B24" s="43" t="s">
        <v>21</v>
      </c>
      <c r="C24" s="44"/>
      <c r="D24" s="44"/>
      <c r="E24" s="44">
        <v>-400</v>
      </c>
      <c r="F24" s="44"/>
      <c r="G24" s="44"/>
      <c r="H24" s="44"/>
      <c r="I24" s="44"/>
      <c r="J24" s="44"/>
      <c r="K24" s="44"/>
      <c r="L24" s="44"/>
      <c r="M24" s="41"/>
    </row>
    <row r="25" spans="1:13" s="49" customFormat="1" ht="30">
      <c r="A25" s="48"/>
      <c r="B25" s="43" t="s">
        <v>22</v>
      </c>
      <c r="C25" s="44"/>
      <c r="D25" s="44"/>
      <c r="E25" s="44">
        <v>605</v>
      </c>
      <c r="F25" s="44"/>
      <c r="G25" s="44"/>
      <c r="H25" s="44"/>
      <c r="I25" s="44"/>
      <c r="J25" s="44">
        <v>147.2</v>
      </c>
      <c r="K25" s="44"/>
      <c r="L25" s="44"/>
      <c r="M25" s="44">
        <f aca="true" t="shared" si="1" ref="M25:M35">IF(E25&lt;&gt;0,IF(J25&lt;&gt;0,J25/E25*100,0),0)</f>
        <v>24.33057851239669</v>
      </c>
    </row>
    <row r="26" spans="1:13" s="49" customFormat="1" ht="30">
      <c r="A26" s="48"/>
      <c r="B26" s="43" t="s">
        <v>23</v>
      </c>
      <c r="C26" s="44"/>
      <c r="D26" s="44"/>
      <c r="E26" s="44">
        <v>180</v>
      </c>
      <c r="F26" s="44"/>
      <c r="G26" s="44"/>
      <c r="H26" s="44"/>
      <c r="I26" s="44"/>
      <c r="J26" s="44">
        <f>32.6-1.8+2.2+216.1</f>
        <v>249.1</v>
      </c>
      <c r="K26" s="44"/>
      <c r="L26" s="44"/>
      <c r="M26" s="44">
        <f t="shared" si="1"/>
        <v>138.38888888888889</v>
      </c>
    </row>
    <row r="27" spans="1:13" ht="60">
      <c r="A27" s="35"/>
      <c r="B27" s="50" t="s">
        <v>24</v>
      </c>
      <c r="C27" s="44"/>
      <c r="D27" s="44"/>
      <c r="E27" s="51">
        <v>75808.8</v>
      </c>
      <c r="F27" s="44"/>
      <c r="G27" s="44"/>
      <c r="H27" s="44"/>
      <c r="I27" s="44"/>
      <c r="J27" s="44">
        <v>78663</v>
      </c>
      <c r="K27" s="44"/>
      <c r="L27" s="44"/>
      <c r="M27" s="44">
        <f t="shared" si="1"/>
        <v>103.76499825877734</v>
      </c>
    </row>
    <row r="28" spans="1:13" s="55" customFormat="1" ht="24.75" customHeight="1">
      <c r="A28" s="52"/>
      <c r="B28" s="53" t="s">
        <v>25</v>
      </c>
      <c r="C28" s="44"/>
      <c r="D28" s="54"/>
      <c r="E28" s="54">
        <v>13702</v>
      </c>
      <c r="F28" s="54"/>
      <c r="G28" s="54"/>
      <c r="H28" s="54"/>
      <c r="I28" s="54"/>
      <c r="J28" s="54">
        <v>25145.5</v>
      </c>
      <c r="K28" s="54"/>
      <c r="L28" s="54"/>
      <c r="M28" s="44">
        <f t="shared" si="1"/>
        <v>183.51700481681505</v>
      </c>
    </row>
    <row r="29" spans="1:13" s="55" customFormat="1" ht="42.75">
      <c r="A29" s="52"/>
      <c r="B29" s="53" t="s">
        <v>26</v>
      </c>
      <c r="C29" s="44"/>
      <c r="D29" s="44"/>
      <c r="E29" s="44">
        <f>46600+2926.8</f>
        <v>49526.8</v>
      </c>
      <c r="F29" s="44"/>
      <c r="G29" s="44"/>
      <c r="H29" s="44"/>
      <c r="I29" s="44"/>
      <c r="J29" s="44">
        <v>46050.5</v>
      </c>
      <c r="K29" s="44"/>
      <c r="L29" s="44"/>
      <c r="M29" s="44">
        <f t="shared" si="1"/>
        <v>92.98097191823416</v>
      </c>
    </row>
    <row r="30" spans="1:13" s="55" customFormat="1" ht="16.5" customHeight="1">
      <c r="A30" s="52"/>
      <c r="B30" s="53" t="s">
        <v>27</v>
      </c>
      <c r="C30" s="44"/>
      <c r="D30" s="44"/>
      <c r="E30" s="44">
        <v>5900</v>
      </c>
      <c r="F30" s="44"/>
      <c r="G30" s="44"/>
      <c r="H30" s="44"/>
      <c r="I30" s="44"/>
      <c r="J30" s="44">
        <v>7230</v>
      </c>
      <c r="K30" s="44"/>
      <c r="L30" s="44"/>
      <c r="M30" s="44">
        <f t="shared" si="1"/>
        <v>122.54237288135594</v>
      </c>
    </row>
    <row r="31" spans="1:13" ht="30">
      <c r="A31" s="35"/>
      <c r="B31" s="43" t="s">
        <v>28</v>
      </c>
      <c r="C31" s="44"/>
      <c r="D31" s="44"/>
      <c r="E31" s="44">
        <v>5000</v>
      </c>
      <c r="F31" s="44"/>
      <c r="G31" s="44"/>
      <c r="H31" s="44"/>
      <c r="I31" s="44"/>
      <c r="J31" s="44">
        <v>4464.3</v>
      </c>
      <c r="K31" s="44"/>
      <c r="L31" s="44"/>
      <c r="M31" s="44">
        <f t="shared" si="1"/>
        <v>89.286</v>
      </c>
    </row>
    <row r="32" spans="1:13" ht="30">
      <c r="A32" s="35"/>
      <c r="B32" s="43" t="s">
        <v>29</v>
      </c>
      <c r="C32" s="44"/>
      <c r="D32" s="44"/>
      <c r="E32" s="44">
        <v>4373</v>
      </c>
      <c r="F32" s="44"/>
      <c r="G32" s="44"/>
      <c r="H32" s="44"/>
      <c r="I32" s="44"/>
      <c r="J32" s="44">
        <v>4861</v>
      </c>
      <c r="K32" s="44"/>
      <c r="L32" s="44"/>
      <c r="M32" s="44">
        <f t="shared" si="1"/>
        <v>111.15938714841069</v>
      </c>
    </row>
    <row r="33" spans="1:13" ht="30">
      <c r="A33" s="35"/>
      <c r="B33" s="43" t="s">
        <v>30</v>
      </c>
      <c r="C33" s="44"/>
      <c r="D33" s="44"/>
      <c r="E33" s="44">
        <v>60300</v>
      </c>
      <c r="F33" s="44"/>
      <c r="G33" s="44"/>
      <c r="H33" s="44"/>
      <c r="I33" s="44"/>
      <c r="J33" s="44">
        <v>11045</v>
      </c>
      <c r="K33" s="44"/>
      <c r="L33" s="44"/>
      <c r="M33" s="44">
        <f t="shared" si="1"/>
        <v>18.316749585406303</v>
      </c>
    </row>
    <row r="34" spans="1:13" ht="18.75" customHeight="1">
      <c r="A34" s="35"/>
      <c r="B34" s="53" t="s">
        <v>31</v>
      </c>
      <c r="C34" s="44"/>
      <c r="D34" s="44"/>
      <c r="E34" s="44">
        <v>52</v>
      </c>
      <c r="F34" s="44"/>
      <c r="G34" s="44"/>
      <c r="H34" s="44"/>
      <c r="I34" s="44"/>
      <c r="J34" s="44">
        <v>78</v>
      </c>
      <c r="K34" s="44"/>
      <c r="L34" s="44"/>
      <c r="M34" s="44">
        <f t="shared" si="1"/>
        <v>150</v>
      </c>
    </row>
    <row r="35" spans="1:13" ht="30">
      <c r="A35" s="35"/>
      <c r="B35" s="43" t="s">
        <v>32</v>
      </c>
      <c r="C35" s="44"/>
      <c r="D35" s="54"/>
      <c r="E35" s="54">
        <v>5440</v>
      </c>
      <c r="F35" s="54"/>
      <c r="G35" s="54"/>
      <c r="H35" s="54"/>
      <c r="I35" s="54"/>
      <c r="J35" s="54">
        <v>6587</v>
      </c>
      <c r="K35" s="54"/>
      <c r="L35" s="54"/>
      <c r="M35" s="44">
        <f t="shared" si="1"/>
        <v>121.08455882352942</v>
      </c>
    </row>
    <row r="36" spans="1:13" ht="18" customHeight="1">
      <c r="A36" s="35"/>
      <c r="B36" s="43" t="s">
        <v>33</v>
      </c>
      <c r="C36" s="44"/>
      <c r="D36" s="54"/>
      <c r="E36" s="54">
        <v>625</v>
      </c>
      <c r="F36" s="54"/>
      <c r="G36" s="54"/>
      <c r="H36" s="54"/>
      <c r="I36" s="54"/>
      <c r="J36" s="54"/>
      <c r="K36" s="54"/>
      <c r="L36" s="54"/>
      <c r="M36" s="41"/>
    </row>
    <row r="37" spans="1:13" ht="45">
      <c r="A37" s="35"/>
      <c r="B37" s="43" t="s">
        <v>34</v>
      </c>
      <c r="C37" s="44"/>
      <c r="D37" s="54"/>
      <c r="E37" s="54">
        <v>58</v>
      </c>
      <c r="F37" s="54"/>
      <c r="G37" s="54"/>
      <c r="H37" s="54"/>
      <c r="I37" s="54"/>
      <c r="J37" s="54"/>
      <c r="K37" s="54"/>
      <c r="L37" s="54"/>
      <c r="M37" s="41"/>
    </row>
    <row r="38" spans="1:13" ht="47.25">
      <c r="A38" s="35"/>
      <c r="B38" s="40" t="s">
        <v>35</v>
      </c>
      <c r="C38" s="56"/>
      <c r="D38" s="54"/>
      <c r="E38" s="56">
        <v>78500</v>
      </c>
      <c r="F38" s="56"/>
      <c r="G38" s="56"/>
      <c r="H38" s="54"/>
      <c r="I38" s="54"/>
      <c r="J38" s="56">
        <v>101707.6</v>
      </c>
      <c r="K38" s="54"/>
      <c r="L38" s="54"/>
      <c r="M38" s="41">
        <f>IF(E38&lt;&gt;0,IF(J38&lt;&gt;0,J38/E38*100,0),0)</f>
        <v>129.56382165605095</v>
      </c>
    </row>
    <row r="39" spans="1:13" s="42" customFormat="1" ht="31.5">
      <c r="A39" s="35"/>
      <c r="B39" s="40" t="s">
        <v>36</v>
      </c>
      <c r="C39" s="41"/>
      <c r="D39" s="41"/>
      <c r="E39" s="41">
        <f>E44+E45+E46+E47+E49+E60+E78+E48</f>
        <v>1658866.3</v>
      </c>
      <c r="F39" s="41"/>
      <c r="G39" s="41"/>
      <c r="H39" s="41"/>
      <c r="I39" s="41"/>
      <c r="J39" s="41">
        <f>J44+J45+J46+J47+J49+J60+J78</f>
        <v>1642975.19</v>
      </c>
      <c r="K39" s="41"/>
      <c r="L39" s="41"/>
      <c r="M39" s="41">
        <f>IF(E39&lt;&gt;0,IF(J39&lt;&gt;0,J39/E39*100,0),0)</f>
        <v>99.04204998317223</v>
      </c>
    </row>
    <row r="40" spans="1:13" s="42" customFormat="1" ht="15.75">
      <c r="A40" s="35"/>
      <c r="B40" s="43" t="s">
        <v>37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1">
        <f>IF(E40&lt;&gt;0,IF(J40&lt;&gt;0,J40/E40*100,0),0)</f>
        <v>0</v>
      </c>
    </row>
    <row r="41" spans="1:13" s="42" customFormat="1" ht="17.25" customHeight="1">
      <c r="A41" s="35"/>
      <c r="B41" s="40" t="s">
        <v>38</v>
      </c>
      <c r="C41" s="41"/>
      <c r="D41" s="41"/>
      <c r="E41" s="41">
        <v>798930</v>
      </c>
      <c r="F41" s="41"/>
      <c r="G41" s="41"/>
      <c r="H41" s="41"/>
      <c r="I41" s="41"/>
      <c r="J41" s="41">
        <f>E41*1.06</f>
        <v>846865.8</v>
      </c>
      <c r="K41" s="41"/>
      <c r="L41" s="41"/>
      <c r="M41" s="41">
        <f>IF(E41&lt;&gt;0,IF(J41&lt;&gt;0,J41/E41*100,0),0)</f>
        <v>106</v>
      </c>
    </row>
    <row r="42" spans="1:13" s="59" customFormat="1" ht="47.25">
      <c r="A42" s="57"/>
      <c r="B42" s="58" t="s">
        <v>39</v>
      </c>
      <c r="C42" s="41"/>
      <c r="D42" s="41"/>
      <c r="E42" s="41">
        <v>1233</v>
      </c>
      <c r="F42" s="41"/>
      <c r="G42" s="41"/>
      <c r="H42" s="41"/>
      <c r="I42" s="41"/>
      <c r="J42" s="41"/>
      <c r="K42" s="41"/>
      <c r="L42" s="41"/>
      <c r="M42" s="41"/>
    </row>
    <row r="43" spans="1:13" s="59" customFormat="1" ht="63">
      <c r="A43" s="57"/>
      <c r="B43" s="58" t="s">
        <v>40</v>
      </c>
      <c r="C43" s="41"/>
      <c r="D43" s="41"/>
      <c r="E43" s="41">
        <v>347909</v>
      </c>
      <c r="F43" s="41"/>
      <c r="G43" s="41"/>
      <c r="H43" s="41"/>
      <c r="I43" s="41"/>
      <c r="J43" s="41">
        <f>E43*1.11</f>
        <v>386178.99000000005</v>
      </c>
      <c r="K43" s="41"/>
      <c r="L43" s="41"/>
      <c r="M43" s="41">
        <f>IF(E43&lt;&gt;0,IF(J43&lt;&gt;0,J43/E43*100,0),0)</f>
        <v>111.00000000000001</v>
      </c>
    </row>
    <row r="44" spans="1:13" s="42" customFormat="1" ht="47.25">
      <c r="A44" s="35"/>
      <c r="B44" s="58" t="s">
        <v>41</v>
      </c>
      <c r="C44" s="44"/>
      <c r="D44" s="44"/>
      <c r="E44" s="41">
        <f>E41+E42+E43</f>
        <v>1148072</v>
      </c>
      <c r="F44" s="44"/>
      <c r="G44" s="44"/>
      <c r="H44" s="44"/>
      <c r="I44" s="44"/>
      <c r="J44" s="41">
        <f>J41+J42+J43</f>
        <v>1233044.79</v>
      </c>
      <c r="K44" s="44"/>
      <c r="L44" s="44"/>
      <c r="M44" s="41">
        <f>IF(E44&lt;&gt;0,IF(J44&lt;&gt;0,J44/E44*100,0),0)</f>
        <v>107.40134677964448</v>
      </c>
    </row>
    <row r="45" spans="1:13" s="42" customFormat="1" ht="35.25" customHeight="1">
      <c r="A45" s="35"/>
      <c r="B45" s="40" t="s">
        <v>42</v>
      </c>
      <c r="C45" s="41"/>
      <c r="D45" s="41"/>
      <c r="E45" s="41">
        <v>31059</v>
      </c>
      <c r="F45" s="41"/>
      <c r="G45" s="41"/>
      <c r="H45" s="41"/>
      <c r="I45" s="41"/>
      <c r="J45" s="41"/>
      <c r="K45" s="41"/>
      <c r="L45" s="41"/>
      <c r="M45" s="41">
        <f>IF(E45&lt;&gt;0,IF(J45&lt;&gt;0,J45/E45*100,0),0)</f>
        <v>0</v>
      </c>
    </row>
    <row r="46" spans="1:13" s="42" customFormat="1" ht="31.5">
      <c r="A46" s="35"/>
      <c r="B46" s="40" t="s">
        <v>43</v>
      </c>
      <c r="C46" s="41"/>
      <c r="D46" s="41"/>
      <c r="E46" s="41">
        <v>29249</v>
      </c>
      <c r="F46" s="41"/>
      <c r="G46" s="41"/>
      <c r="H46" s="41"/>
      <c r="I46" s="41"/>
      <c r="J46" s="41">
        <v>33118</v>
      </c>
      <c r="K46" s="41"/>
      <c r="L46" s="41"/>
      <c r="M46" s="41">
        <f>IF(E46&lt;&gt;0,IF(J46&lt;&gt;0,J46/E46*100,0),0)</f>
        <v>113.22780265992</v>
      </c>
    </row>
    <row r="47" spans="1:13" s="42" customFormat="1" ht="47.25">
      <c r="A47" s="35"/>
      <c r="B47" s="40" t="s">
        <v>44</v>
      </c>
      <c r="C47" s="41"/>
      <c r="D47" s="41"/>
      <c r="E47" s="41">
        <v>65027</v>
      </c>
      <c r="F47" s="41"/>
      <c r="G47" s="41"/>
      <c r="H47" s="41"/>
      <c r="I47" s="41"/>
      <c r="J47" s="41">
        <v>7775</v>
      </c>
      <c r="K47" s="41"/>
      <c r="L47" s="41"/>
      <c r="M47" s="41">
        <f>IF(E47&lt;&gt;0,IF(J47&lt;&gt;0,J47/E47*100,0),0)</f>
        <v>11.956571885524475</v>
      </c>
    </row>
    <row r="48" spans="1:13" s="42" customFormat="1" ht="133.5" customHeight="1">
      <c r="A48" s="35"/>
      <c r="B48" s="40" t="s">
        <v>45</v>
      </c>
      <c r="C48" s="41"/>
      <c r="D48" s="41"/>
      <c r="E48" s="41">
        <v>22095</v>
      </c>
      <c r="F48" s="41"/>
      <c r="G48" s="41"/>
      <c r="H48" s="41"/>
      <c r="I48" s="41"/>
      <c r="J48" s="41"/>
      <c r="K48" s="41"/>
      <c r="L48" s="41"/>
      <c r="M48" s="41"/>
    </row>
    <row r="49" spans="1:13" s="61" customFormat="1" ht="25.5" customHeight="1">
      <c r="A49" s="60"/>
      <c r="B49" s="40" t="s">
        <v>46</v>
      </c>
      <c r="C49" s="41"/>
      <c r="D49" s="41"/>
      <c r="E49" s="41">
        <f>E51+E52+E53+E54+E55+E56+E57</f>
        <v>48475.5</v>
      </c>
      <c r="F49" s="41">
        <f>F51+F52+F53+F54+F55+F56+F57</f>
        <v>0</v>
      </c>
      <c r="G49" s="41">
        <f>G51+G52+G53+G54+G55+G56+G57</f>
        <v>0</v>
      </c>
      <c r="H49" s="41">
        <f>H51+H52+H53+H54+H55+H56+H57</f>
        <v>0</v>
      </c>
      <c r="I49" s="41">
        <f>I51+I52+I53+I54+I55+I56+I57</f>
        <v>0</v>
      </c>
      <c r="J49" s="41">
        <f>J51+J52+J53+J54+J55+J56+J57+J58+J59</f>
        <v>55890.4</v>
      </c>
      <c r="K49" s="41"/>
      <c r="L49" s="41"/>
      <c r="M49" s="41">
        <f>IF(E49&lt;&gt;0,IF(J49&lt;&gt;0,J49/E49*100,0),0)</f>
        <v>115.2961805448113</v>
      </c>
    </row>
    <row r="50" spans="1:13" s="61" customFormat="1" ht="15.75">
      <c r="A50" s="60"/>
      <c r="B50" s="43" t="s">
        <v>37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1"/>
    </row>
    <row r="51" spans="1:13" s="61" customFormat="1" ht="111.75" customHeight="1" hidden="1">
      <c r="A51" s="60"/>
      <c r="B51" s="62" t="s">
        <v>47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1">
        <f aca="true" t="shared" si="2" ref="M51:M57">IF(E51&lt;&gt;0,IF(J51&lt;&gt;0,J51/E51*100,0),0)</f>
        <v>0</v>
      </c>
    </row>
    <row r="52" spans="1:13" s="61" customFormat="1" ht="99.75">
      <c r="A52" s="60"/>
      <c r="B52" s="63" t="s">
        <v>48</v>
      </c>
      <c r="C52" s="44"/>
      <c r="D52" s="44"/>
      <c r="E52" s="44">
        <v>37374</v>
      </c>
      <c r="F52" s="44"/>
      <c r="G52" s="44"/>
      <c r="H52" s="44"/>
      <c r="I52" s="44"/>
      <c r="J52" s="44">
        <v>39642</v>
      </c>
      <c r="K52" s="44"/>
      <c r="L52" s="44"/>
      <c r="M52" s="44">
        <f t="shared" si="2"/>
        <v>106.06838978969337</v>
      </c>
    </row>
    <row r="53" spans="1:13" s="61" customFormat="1" ht="60">
      <c r="A53" s="60"/>
      <c r="B53" s="62" t="s">
        <v>49</v>
      </c>
      <c r="C53" s="44"/>
      <c r="D53" s="44"/>
      <c r="E53" s="44">
        <v>8980</v>
      </c>
      <c r="F53" s="44"/>
      <c r="G53" s="44"/>
      <c r="H53" s="44"/>
      <c r="I53" s="44"/>
      <c r="J53" s="44">
        <v>8938</v>
      </c>
      <c r="K53" s="44"/>
      <c r="L53" s="44"/>
      <c r="M53" s="44">
        <f t="shared" si="2"/>
        <v>99.53229398663697</v>
      </c>
    </row>
    <row r="54" spans="1:13" s="61" customFormat="1" ht="30">
      <c r="A54" s="60"/>
      <c r="B54" s="62" t="s">
        <v>50</v>
      </c>
      <c r="C54" s="44"/>
      <c r="D54" s="44"/>
      <c r="E54" s="44">
        <v>1605</v>
      </c>
      <c r="F54" s="44"/>
      <c r="G54" s="44"/>
      <c r="H54" s="44"/>
      <c r="I54" s="44"/>
      <c r="J54" s="44">
        <v>2216</v>
      </c>
      <c r="K54" s="44"/>
      <c r="L54" s="44"/>
      <c r="M54" s="44">
        <f t="shared" si="2"/>
        <v>138.06853582554515</v>
      </c>
    </row>
    <row r="55" spans="1:13" s="42" customFormat="1" ht="72.75" customHeight="1">
      <c r="A55" s="35"/>
      <c r="B55" s="64" t="s">
        <v>51</v>
      </c>
      <c r="C55" s="44"/>
      <c r="D55" s="44"/>
      <c r="E55" s="44">
        <v>499</v>
      </c>
      <c r="F55" s="44"/>
      <c r="G55" s="44"/>
      <c r="H55" s="44"/>
      <c r="I55" s="44"/>
      <c r="J55" s="44">
        <v>558</v>
      </c>
      <c r="K55" s="44"/>
      <c r="L55" s="44"/>
      <c r="M55" s="44">
        <f t="shared" si="2"/>
        <v>111.82364729458918</v>
      </c>
    </row>
    <row r="56" spans="1:13" s="42" customFormat="1" ht="105">
      <c r="A56" s="35"/>
      <c r="B56" s="64" t="s">
        <v>52</v>
      </c>
      <c r="C56" s="44"/>
      <c r="D56" s="44"/>
      <c r="E56" s="44">
        <v>0.5</v>
      </c>
      <c r="F56" s="44"/>
      <c r="G56" s="44"/>
      <c r="H56" s="44"/>
      <c r="I56" s="44"/>
      <c r="J56" s="44">
        <v>1</v>
      </c>
      <c r="K56" s="44"/>
      <c r="L56" s="44"/>
      <c r="M56" s="44">
        <f t="shared" si="2"/>
        <v>200</v>
      </c>
    </row>
    <row r="57" spans="1:13" s="61" customFormat="1" ht="150.75" customHeight="1">
      <c r="A57" s="60"/>
      <c r="B57" s="65" t="s">
        <v>53</v>
      </c>
      <c r="C57" s="44"/>
      <c r="D57" s="44"/>
      <c r="E57" s="44">
        <v>17</v>
      </c>
      <c r="F57" s="44"/>
      <c r="G57" s="44"/>
      <c r="H57" s="44"/>
      <c r="I57" s="44"/>
      <c r="J57" s="44">
        <v>18</v>
      </c>
      <c r="K57" s="44"/>
      <c r="L57" s="44"/>
      <c r="M57" s="44">
        <f t="shared" si="2"/>
        <v>105.88235294117648</v>
      </c>
    </row>
    <row r="58" spans="1:13" s="61" customFormat="1" ht="140.25" customHeight="1">
      <c r="A58" s="60"/>
      <c r="B58" s="66" t="s">
        <v>54</v>
      </c>
      <c r="C58" s="44"/>
      <c r="D58" s="44"/>
      <c r="E58" s="44"/>
      <c r="F58" s="44"/>
      <c r="G58" s="44"/>
      <c r="H58" s="44"/>
      <c r="I58" s="44"/>
      <c r="J58" s="44">
        <v>4449</v>
      </c>
      <c r="K58" s="44"/>
      <c r="L58" s="44"/>
      <c r="M58" s="44"/>
    </row>
    <row r="59" spans="1:13" s="61" customFormat="1" ht="75">
      <c r="A59" s="60"/>
      <c r="B59" s="65" t="s">
        <v>55</v>
      </c>
      <c r="C59" s="44"/>
      <c r="D59" s="44"/>
      <c r="E59" s="44"/>
      <c r="F59" s="44"/>
      <c r="G59" s="44"/>
      <c r="H59" s="44"/>
      <c r="I59" s="44"/>
      <c r="J59" s="44">
        <v>68.4</v>
      </c>
      <c r="K59" s="44"/>
      <c r="L59" s="44"/>
      <c r="M59" s="44"/>
    </row>
    <row r="60" spans="1:13" s="59" customFormat="1" ht="23.25" customHeight="1">
      <c r="A60" s="57"/>
      <c r="B60" s="67" t="s">
        <v>56</v>
      </c>
      <c r="C60" s="41"/>
      <c r="D60" s="41"/>
      <c r="E60" s="41">
        <f>E61+E65+E67+E68+E69+E70+E71+E72+E73+E76+E75</f>
        <v>288961.8</v>
      </c>
      <c r="F60" s="41"/>
      <c r="G60" s="41"/>
      <c r="H60" s="41"/>
      <c r="I60" s="41"/>
      <c r="J60" s="41">
        <f>J61+J65+J66+J67+J68+J69+J70+J71+J72+J73+J75+J77</f>
        <v>293284</v>
      </c>
      <c r="K60" s="41"/>
      <c r="L60" s="41"/>
      <c r="M60" s="41">
        <f aca="true" t="shared" si="3" ref="M60:M65">IF(E60&lt;&gt;0,IF(J60&lt;&gt;0,J60/E60*100,0),0)</f>
        <v>101.495768644852</v>
      </c>
    </row>
    <row r="61" spans="1:13" s="42" customFormat="1" ht="45">
      <c r="A61" s="35"/>
      <c r="B61" s="68" t="s">
        <v>57</v>
      </c>
      <c r="C61" s="44"/>
      <c r="D61" s="44"/>
      <c r="E61" s="44">
        <v>187713</v>
      </c>
      <c r="F61" s="44"/>
      <c r="G61" s="44"/>
      <c r="H61" s="44"/>
      <c r="I61" s="44"/>
      <c r="J61" s="44">
        <v>178588</v>
      </c>
      <c r="K61" s="44"/>
      <c r="L61" s="44"/>
      <c r="M61" s="44">
        <f t="shared" si="3"/>
        <v>95.13885559337926</v>
      </c>
    </row>
    <row r="62" spans="1:13" s="70" customFormat="1" ht="28.5">
      <c r="A62" s="52"/>
      <c r="B62" s="69" t="s">
        <v>58</v>
      </c>
      <c r="C62" s="44"/>
      <c r="D62" s="44"/>
      <c r="E62" s="44">
        <v>174735</v>
      </c>
      <c r="F62" s="44"/>
      <c r="G62" s="44"/>
      <c r="H62" s="44"/>
      <c r="I62" s="44"/>
      <c r="J62" s="44"/>
      <c r="K62" s="44"/>
      <c r="L62" s="44"/>
      <c r="M62" s="44">
        <f t="shared" si="3"/>
        <v>0</v>
      </c>
    </row>
    <row r="63" spans="1:13" s="70" customFormat="1" ht="28.5">
      <c r="A63" s="52"/>
      <c r="B63" s="69" t="s">
        <v>59</v>
      </c>
      <c r="C63" s="44"/>
      <c r="D63" s="44"/>
      <c r="E63" s="44">
        <v>1590.1</v>
      </c>
      <c r="F63" s="44"/>
      <c r="G63" s="44"/>
      <c r="H63" s="44"/>
      <c r="I63" s="44"/>
      <c r="J63" s="44"/>
      <c r="K63" s="44"/>
      <c r="L63" s="44"/>
      <c r="M63" s="44">
        <f t="shared" si="3"/>
        <v>0</v>
      </c>
    </row>
    <row r="64" spans="1:13" s="70" customFormat="1" ht="15">
      <c r="A64" s="52"/>
      <c r="B64" s="69" t="s">
        <v>60</v>
      </c>
      <c r="C64" s="44"/>
      <c r="D64" s="44"/>
      <c r="E64" s="44">
        <v>11387.9</v>
      </c>
      <c r="F64" s="44"/>
      <c r="G64" s="44"/>
      <c r="H64" s="44"/>
      <c r="I64" s="44"/>
      <c r="J64" s="44"/>
      <c r="K64" s="44"/>
      <c r="L64" s="44"/>
      <c r="M64" s="44">
        <f t="shared" si="3"/>
        <v>0</v>
      </c>
    </row>
    <row r="65" spans="1:13" s="70" customFormat="1" ht="28.5">
      <c r="A65" s="52"/>
      <c r="B65" s="69" t="s">
        <v>61</v>
      </c>
      <c r="C65" s="44"/>
      <c r="D65" s="44"/>
      <c r="E65" s="44">
        <v>7625.8</v>
      </c>
      <c r="F65" s="44"/>
      <c r="G65" s="44"/>
      <c r="H65" s="44"/>
      <c r="I65" s="44"/>
      <c r="J65" s="44">
        <v>10627</v>
      </c>
      <c r="K65" s="44"/>
      <c r="L65" s="44"/>
      <c r="M65" s="44">
        <f t="shared" si="3"/>
        <v>139.35587085945082</v>
      </c>
    </row>
    <row r="66" spans="1:13" s="70" customFormat="1" ht="57">
      <c r="A66" s="52"/>
      <c r="B66" s="69" t="s">
        <v>62</v>
      </c>
      <c r="C66" s="44"/>
      <c r="D66" s="44"/>
      <c r="E66" s="44"/>
      <c r="F66" s="44"/>
      <c r="G66" s="44"/>
      <c r="H66" s="44"/>
      <c r="I66" s="44"/>
      <c r="J66" s="44">
        <v>283</v>
      </c>
      <c r="K66" s="44"/>
      <c r="L66" s="44"/>
      <c r="M66" s="44"/>
    </row>
    <row r="67" spans="1:13" s="42" customFormat="1" ht="30">
      <c r="A67" s="35"/>
      <c r="B67" s="68" t="s">
        <v>63</v>
      </c>
      <c r="C67" s="44"/>
      <c r="D67" s="44"/>
      <c r="E67" s="44">
        <v>38742</v>
      </c>
      <c r="F67" s="44"/>
      <c r="G67" s="44"/>
      <c r="H67" s="44"/>
      <c r="I67" s="44"/>
      <c r="J67" s="44">
        <v>47538</v>
      </c>
      <c r="K67" s="44"/>
      <c r="L67" s="44"/>
      <c r="M67" s="44">
        <f>IF(E67&lt;&gt;0,IF(J67&lt;&gt;0,J67/E67*100,0),0)</f>
        <v>122.70404212482578</v>
      </c>
    </row>
    <row r="68" spans="1:13" s="42" customFormat="1" ht="45">
      <c r="A68" s="35"/>
      <c r="B68" s="68" t="s">
        <v>64</v>
      </c>
      <c r="C68" s="44"/>
      <c r="D68" s="44"/>
      <c r="E68" s="44">
        <v>936</v>
      </c>
      <c r="F68" s="44"/>
      <c r="G68" s="44"/>
      <c r="H68" s="44"/>
      <c r="I68" s="44"/>
      <c r="J68" s="44">
        <v>768</v>
      </c>
      <c r="K68" s="44"/>
      <c r="L68" s="44"/>
      <c r="M68" s="44">
        <f>IF(E68&lt;&gt;0,IF(J68&lt;&gt;0,J68/E68*100,0),0)</f>
        <v>82.05128205128204</v>
      </c>
    </row>
    <row r="69" spans="1:13" s="42" customFormat="1" ht="60">
      <c r="A69" s="35"/>
      <c r="B69" s="68" t="s">
        <v>65</v>
      </c>
      <c r="C69" s="44"/>
      <c r="D69" s="44"/>
      <c r="E69" s="44">
        <v>47827</v>
      </c>
      <c r="F69" s="44"/>
      <c r="G69" s="44"/>
      <c r="H69" s="44"/>
      <c r="I69" s="44"/>
      <c r="J69" s="44">
        <v>23199</v>
      </c>
      <c r="K69" s="44"/>
      <c r="L69" s="44"/>
      <c r="M69" s="41">
        <f>IF(E69&lt;&gt;0,IF(J69&lt;&gt;0,J69/E69*100,0),0)</f>
        <v>48.506073974951384</v>
      </c>
    </row>
    <row r="70" spans="1:13" s="42" customFormat="1" ht="60">
      <c r="A70" s="35"/>
      <c r="B70" s="68" t="s">
        <v>66</v>
      </c>
      <c r="C70" s="44"/>
      <c r="D70" s="44"/>
      <c r="E70" s="44">
        <v>1850</v>
      </c>
      <c r="F70" s="44"/>
      <c r="G70" s="44"/>
      <c r="H70" s="44"/>
      <c r="I70" s="44"/>
      <c r="J70" s="44"/>
      <c r="K70" s="44"/>
      <c r="L70" s="44"/>
      <c r="M70" s="41"/>
    </row>
    <row r="71" spans="1:13" s="42" customFormat="1" ht="105">
      <c r="A71" s="35"/>
      <c r="B71" s="68" t="s">
        <v>67</v>
      </c>
      <c r="C71" s="44"/>
      <c r="D71" s="44"/>
      <c r="E71" s="44">
        <v>900</v>
      </c>
      <c r="F71" s="44"/>
      <c r="G71" s="44"/>
      <c r="H71" s="44"/>
      <c r="I71" s="44"/>
      <c r="J71" s="44"/>
      <c r="K71" s="44"/>
      <c r="L71" s="44"/>
      <c r="M71" s="41"/>
    </row>
    <row r="72" spans="1:13" s="42" customFormat="1" ht="45">
      <c r="A72" s="35"/>
      <c r="B72" s="68" t="s">
        <v>68</v>
      </c>
      <c r="C72" s="44"/>
      <c r="D72" s="44"/>
      <c r="E72" s="44">
        <v>1155</v>
      </c>
      <c r="F72" s="44"/>
      <c r="G72" s="44"/>
      <c r="H72" s="44"/>
      <c r="I72" s="44"/>
      <c r="J72" s="44"/>
      <c r="K72" s="44"/>
      <c r="L72" s="44"/>
      <c r="M72" s="41"/>
    </row>
    <row r="73" spans="1:13" s="42" customFormat="1" ht="75">
      <c r="A73" s="35"/>
      <c r="B73" s="68" t="s">
        <v>69</v>
      </c>
      <c r="C73" s="44"/>
      <c r="D73" s="44"/>
      <c r="E73" s="44"/>
      <c r="F73" s="44"/>
      <c r="G73" s="44"/>
      <c r="H73" s="44"/>
      <c r="I73" s="44"/>
      <c r="J73" s="44">
        <v>31179</v>
      </c>
      <c r="K73" s="44"/>
      <c r="L73" s="44"/>
      <c r="M73" s="41"/>
    </row>
    <row r="74" spans="1:13" s="42" customFormat="1" ht="30">
      <c r="A74" s="35"/>
      <c r="B74" s="68" t="s">
        <v>70</v>
      </c>
      <c r="C74" s="44"/>
      <c r="D74" s="44"/>
      <c r="E74" s="44"/>
      <c r="F74" s="44"/>
      <c r="G74" s="44"/>
      <c r="H74" s="44"/>
      <c r="I74" s="44"/>
      <c r="J74" s="44">
        <v>24516</v>
      </c>
      <c r="K74" s="44"/>
      <c r="L74" s="44"/>
      <c r="M74" s="41"/>
    </row>
    <row r="75" spans="1:13" s="42" customFormat="1" ht="90">
      <c r="A75" s="35"/>
      <c r="B75" s="68" t="s">
        <v>71</v>
      </c>
      <c r="C75" s="44"/>
      <c r="D75" s="44"/>
      <c r="E75" s="44">
        <v>275</v>
      </c>
      <c r="F75" s="44"/>
      <c r="G75" s="44"/>
      <c r="H75" s="44"/>
      <c r="I75" s="44"/>
      <c r="J75" s="44">
        <v>557</v>
      </c>
      <c r="K75" s="44"/>
      <c r="L75" s="44"/>
      <c r="M75" s="41"/>
    </row>
    <row r="76" spans="1:13" s="42" customFormat="1" ht="45">
      <c r="A76" s="35"/>
      <c r="B76" s="68" t="s">
        <v>72</v>
      </c>
      <c r="C76" s="44"/>
      <c r="D76" s="44"/>
      <c r="E76" s="44">
        <v>1938</v>
      </c>
      <c r="F76" s="44"/>
      <c r="G76" s="44"/>
      <c r="H76" s="44"/>
      <c r="I76" s="44"/>
      <c r="J76" s="44"/>
      <c r="K76" s="44"/>
      <c r="L76" s="44"/>
      <c r="M76" s="41"/>
    </row>
    <row r="77" spans="1:13" s="42" customFormat="1" ht="60">
      <c r="A77" s="35"/>
      <c r="B77" s="68" t="s">
        <v>73</v>
      </c>
      <c r="C77" s="44"/>
      <c r="D77" s="44"/>
      <c r="E77" s="44"/>
      <c r="F77" s="44"/>
      <c r="G77" s="44"/>
      <c r="H77" s="44"/>
      <c r="I77" s="44"/>
      <c r="J77" s="44">
        <v>545</v>
      </c>
      <c r="K77" s="44"/>
      <c r="L77" s="44"/>
      <c r="M77" s="41"/>
    </row>
    <row r="78" spans="1:13" s="59" customFormat="1" ht="47.25">
      <c r="A78" s="57"/>
      <c r="B78" s="71" t="s">
        <v>74</v>
      </c>
      <c r="C78" s="41"/>
      <c r="D78" s="41"/>
      <c r="E78" s="41">
        <f>E79+E80+E81+E82+E83+E84+E85</f>
        <v>25927</v>
      </c>
      <c r="F78" s="41"/>
      <c r="G78" s="41"/>
      <c r="H78" s="41"/>
      <c r="I78" s="41"/>
      <c r="J78" s="41">
        <f>J79+J80+J81+J82+J83+J84+J86</f>
        <v>19863</v>
      </c>
      <c r="K78" s="41"/>
      <c r="L78" s="41"/>
      <c r="M78" s="41">
        <f>IF(E78&lt;&gt;0,IF(J78&lt;&gt;0,J78/E78*100,0),0)</f>
        <v>76.61125467659197</v>
      </c>
    </row>
    <row r="79" spans="1:13" s="42" customFormat="1" ht="45">
      <c r="A79" s="35"/>
      <c r="B79" s="43" t="s">
        <v>75</v>
      </c>
      <c r="C79" s="44"/>
      <c r="D79" s="44"/>
      <c r="E79" s="44">
        <v>62</v>
      </c>
      <c r="F79" s="44"/>
      <c r="G79" s="44"/>
      <c r="H79" s="44"/>
      <c r="I79" s="44"/>
      <c r="J79" s="44"/>
      <c r="K79" s="44"/>
      <c r="L79" s="44"/>
      <c r="M79" s="41"/>
    </row>
    <row r="80" spans="1:13" s="42" customFormat="1" ht="75">
      <c r="A80" s="35"/>
      <c r="B80" s="43" t="s">
        <v>76</v>
      </c>
      <c r="C80" s="44"/>
      <c r="D80" s="44"/>
      <c r="E80" s="44">
        <v>36</v>
      </c>
      <c r="F80" s="44"/>
      <c r="G80" s="44"/>
      <c r="H80" s="44"/>
      <c r="I80" s="44"/>
      <c r="J80" s="44"/>
      <c r="K80" s="44"/>
      <c r="L80" s="44"/>
      <c r="M80" s="41"/>
    </row>
    <row r="81" spans="1:13" s="42" customFormat="1" ht="30">
      <c r="A81" s="35"/>
      <c r="B81" s="43" t="s">
        <v>77</v>
      </c>
      <c r="C81" s="44"/>
      <c r="D81" s="44"/>
      <c r="E81" s="44">
        <v>9376</v>
      </c>
      <c r="F81" s="44"/>
      <c r="G81" s="44"/>
      <c r="H81" s="44"/>
      <c r="I81" s="44"/>
      <c r="J81" s="44">
        <v>19363</v>
      </c>
      <c r="K81" s="44"/>
      <c r="L81" s="44"/>
      <c r="M81" s="44">
        <f>IF(E81&lt;&gt;0,IF(J81&lt;&gt;0,J81/E81*100,0),0)</f>
        <v>206.51663822525597</v>
      </c>
    </row>
    <row r="82" spans="1:13" s="42" customFormat="1" ht="30">
      <c r="A82" s="35"/>
      <c r="B82" s="43" t="s">
        <v>78</v>
      </c>
      <c r="C82" s="44"/>
      <c r="D82" s="44"/>
      <c r="E82" s="44">
        <v>8853</v>
      </c>
      <c r="F82" s="44"/>
      <c r="G82" s="44"/>
      <c r="H82" s="44"/>
      <c r="I82" s="44"/>
      <c r="J82" s="44"/>
      <c r="K82" s="44"/>
      <c r="L82" s="44"/>
      <c r="M82" s="41"/>
    </row>
    <row r="83" spans="1:13" s="42" customFormat="1" ht="75">
      <c r="A83" s="35"/>
      <c r="B83" s="43" t="s">
        <v>79</v>
      </c>
      <c r="C83" s="44"/>
      <c r="D83" s="44"/>
      <c r="E83" s="44">
        <v>1400</v>
      </c>
      <c r="F83" s="44"/>
      <c r="G83" s="44"/>
      <c r="H83" s="44"/>
      <c r="I83" s="44"/>
      <c r="J83" s="44"/>
      <c r="K83" s="44"/>
      <c r="L83" s="44"/>
      <c r="M83" s="41"/>
    </row>
    <row r="84" spans="1:13" s="42" customFormat="1" ht="30">
      <c r="A84" s="35"/>
      <c r="B84" s="43" t="s">
        <v>80</v>
      </c>
      <c r="C84" s="44"/>
      <c r="D84" s="44"/>
      <c r="E84" s="44">
        <v>1200</v>
      </c>
      <c r="F84" s="44"/>
      <c r="G84" s="44"/>
      <c r="H84" s="44"/>
      <c r="I84" s="44"/>
      <c r="J84" s="44"/>
      <c r="K84" s="44"/>
      <c r="L84" s="44"/>
      <c r="M84" s="41"/>
    </row>
    <row r="85" spans="1:13" s="42" customFormat="1" ht="60">
      <c r="A85" s="35"/>
      <c r="B85" s="43" t="s">
        <v>81</v>
      </c>
      <c r="C85" s="44"/>
      <c r="D85" s="44"/>
      <c r="E85" s="44">
        <v>5000</v>
      </c>
      <c r="F85" s="44"/>
      <c r="G85" s="44"/>
      <c r="H85" s="44"/>
      <c r="I85" s="44"/>
      <c r="J85" s="44"/>
      <c r="K85" s="44"/>
      <c r="L85" s="44"/>
      <c r="M85" s="41"/>
    </row>
    <row r="86" spans="1:13" s="42" customFormat="1" ht="75">
      <c r="A86" s="35"/>
      <c r="B86" s="43" t="s">
        <v>82</v>
      </c>
      <c r="C86" s="44"/>
      <c r="D86" s="44"/>
      <c r="E86" s="44"/>
      <c r="F86" s="44"/>
      <c r="G86" s="44"/>
      <c r="H86" s="44"/>
      <c r="I86" s="44"/>
      <c r="J86" s="44">
        <v>500</v>
      </c>
      <c r="K86" s="44"/>
      <c r="L86" s="44"/>
      <c r="M86" s="41"/>
    </row>
    <row r="87" spans="1:13" s="42" customFormat="1" ht="31.5" hidden="1">
      <c r="A87" s="35"/>
      <c r="B87" s="40" t="s">
        <v>83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1"/>
    </row>
    <row r="88" spans="1:13" s="42" customFormat="1" ht="15.75" hidden="1">
      <c r="A88" s="35"/>
      <c r="B88" s="43" t="s">
        <v>84</v>
      </c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1"/>
    </row>
    <row r="89" spans="1:13" s="42" customFormat="1" ht="15.75" hidden="1">
      <c r="A89" s="35"/>
      <c r="B89" s="43" t="s">
        <v>85</v>
      </c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1"/>
    </row>
    <row r="90" spans="1:13" s="42" customFormat="1" ht="15.75" hidden="1">
      <c r="A90" s="35"/>
      <c r="B90" s="43" t="s">
        <v>86</v>
      </c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1"/>
    </row>
    <row r="91" spans="1:13" s="61" customFormat="1" ht="20.25" customHeight="1">
      <c r="A91" s="60"/>
      <c r="B91" s="40" t="s">
        <v>87</v>
      </c>
      <c r="C91" s="41">
        <f>C12+C39</f>
        <v>0</v>
      </c>
      <c r="D91" s="41">
        <f>D12+D39</f>
        <v>0</v>
      </c>
      <c r="E91" s="41">
        <f>E12+E39</f>
        <v>2181917.1</v>
      </c>
      <c r="F91" s="41"/>
      <c r="G91" s="41"/>
      <c r="H91" s="41"/>
      <c r="I91" s="41"/>
      <c r="J91" s="41">
        <f>J12+J39</f>
        <v>2274887.79</v>
      </c>
      <c r="K91" s="41"/>
      <c r="L91" s="41"/>
      <c r="M91" s="41">
        <f>IF(E91&lt;&gt;0,IF(J91&lt;&gt;0,J91/E91*100,0),0)</f>
        <v>104.26096344356988</v>
      </c>
    </row>
    <row r="92" spans="1:13" s="61" customFormat="1" ht="15.75" customHeight="1" hidden="1">
      <c r="A92" s="60"/>
      <c r="B92" s="40" t="s">
        <v>88</v>
      </c>
      <c r="C92" s="41">
        <v>712506.8</v>
      </c>
      <c r="D92" s="41"/>
      <c r="E92" s="41">
        <f>E60+E49+E42+E43+E78</f>
        <v>712506.3</v>
      </c>
      <c r="F92" s="41"/>
      <c r="G92" s="41"/>
      <c r="H92" s="41">
        <v>755216.2</v>
      </c>
      <c r="I92" s="41"/>
      <c r="J92" s="41"/>
      <c r="K92" s="41">
        <f>IF(C92&lt;&gt;0,IF(H92&lt;&gt;0,H92/C92*100,0),0)</f>
        <v>105.99424454615729</v>
      </c>
      <c r="L92" s="41">
        <f>IF(D92&lt;&gt;0,IF(I92&lt;&gt;0,I92/D92*100,0),0)</f>
        <v>0</v>
      </c>
      <c r="M92" s="41">
        <f>IF(E92&lt;&gt;0,IF(J92&lt;&gt;0,J92/E92*100,0),0)</f>
        <v>0</v>
      </c>
    </row>
    <row r="93" spans="1:17" s="42" customFormat="1" ht="15.75">
      <c r="A93" s="35"/>
      <c r="B93" s="72" t="s">
        <v>89</v>
      </c>
      <c r="C93" s="41">
        <f>C97+C112+C114+C127+C138+C149+C153+C167+C177+C188</f>
        <v>712506.8</v>
      </c>
      <c r="D93" s="41">
        <f>D97+D112+D114+D127+D138+D149+D153+D167+D177+D188</f>
        <v>1504586.71</v>
      </c>
      <c r="E93" s="41">
        <f>E97+E112+E114+E127+E138+E149+E153+E167+E177+E188</f>
        <v>2217093.5100000002</v>
      </c>
      <c r="F93" s="41">
        <f>F97+F112+F114+F127+F138+F149+F153+F167+F177+F188</f>
        <v>41435.5</v>
      </c>
      <c r="G93" s="41">
        <f>G97+G112+G114+G127+G138+G149+G153+G167+G177+G188</f>
        <v>41435.5</v>
      </c>
      <c r="H93" s="41">
        <f>H97+H112+H114+H127+H138+H149+H153+H167+H177+H188+H207</f>
        <v>755216.2</v>
      </c>
      <c r="I93" s="41">
        <f>I97+I112+I114+I127+I138+I149+I153+I167+I177+I188+I207</f>
        <v>1582645.0999999999</v>
      </c>
      <c r="J93" s="41">
        <f>J97+J112+J114+J127+J138+J149+J153+J167+J177+J188+J207</f>
        <v>2337861.3</v>
      </c>
      <c r="K93" s="41">
        <f>IF(C93&lt;&gt;0,IF(H93&lt;&gt;0,H93/C93*100,0),0)</f>
        <v>105.99424454615729</v>
      </c>
      <c r="L93" s="41">
        <f>IF(D93&lt;&gt;0,IF(I93&lt;&gt;0,I93/D93*100,0),0)</f>
        <v>105.18802867798824</v>
      </c>
      <c r="M93" s="41">
        <f>IF(E93&lt;&gt;0,IF(J93&lt;&gt;0,J93/E93*100,0),0)</f>
        <v>105.4471220747022</v>
      </c>
      <c r="N93" s="42">
        <f>N97+N112+N114+N127+N138+N149+N153+N167+N177+N188+N207</f>
        <v>2326861.3</v>
      </c>
      <c r="P93" s="42">
        <f>P97+P112+P114+P127+P138+P149+P153+P167+P177+P188+P207</f>
        <v>2343123.9999999995</v>
      </c>
      <c r="Q93" s="42">
        <f>N93-P93</f>
        <v>-16262.69999999972</v>
      </c>
    </row>
    <row r="94" spans="1:19" s="42" customFormat="1" ht="63" hidden="1">
      <c r="A94" s="35"/>
      <c r="B94" s="62" t="s">
        <v>90</v>
      </c>
      <c r="C94" s="41" t="s">
        <v>91</v>
      </c>
      <c r="D94" s="41" t="s">
        <v>92</v>
      </c>
      <c r="E94" s="41" t="s">
        <v>93</v>
      </c>
      <c r="F94" s="41"/>
      <c r="G94" s="41"/>
      <c r="H94" s="73" t="s">
        <v>94</v>
      </c>
      <c r="I94" s="74" t="s">
        <v>92</v>
      </c>
      <c r="J94" s="75" t="s">
        <v>93</v>
      </c>
      <c r="K94" s="41"/>
      <c r="L94" s="41"/>
      <c r="M94" s="41"/>
      <c r="N94" s="76"/>
      <c r="O94" s="77"/>
      <c r="P94" s="76"/>
      <c r="Q94" s="76"/>
      <c r="R94" s="76"/>
      <c r="S94" s="76"/>
    </row>
    <row r="95" spans="1:15" s="42" customFormat="1" ht="30" hidden="1">
      <c r="A95" s="35"/>
      <c r="B95" s="62" t="s">
        <v>95</v>
      </c>
      <c r="C95" s="44">
        <f>C99+C140+C155+C169+C179+C190</f>
        <v>0</v>
      </c>
      <c r="D95" s="44">
        <f>D99+D140+D155+D169+D179+D190</f>
        <v>0</v>
      </c>
      <c r="E95" s="44">
        <f>C95+D95</f>
        <v>0</v>
      </c>
      <c r="F95" s="44">
        <f>F99+F140+F155+F169+F179+F190</f>
        <v>24188.4</v>
      </c>
      <c r="G95" s="44">
        <f>G99+G140+G155+G169+G179+G190</f>
        <v>24188.4</v>
      </c>
      <c r="H95" s="44">
        <f>H99+H140+H155+H169+H179+H190</f>
        <v>0</v>
      </c>
      <c r="I95" s="44">
        <f>I99+I119+I129+I140+I155+I169+I179+I190</f>
        <v>0</v>
      </c>
      <c r="J95" s="44">
        <f>H95+I95</f>
        <v>0</v>
      </c>
      <c r="K95" s="41">
        <f>IF(C95&lt;&gt;0,IF(H95&lt;&gt;0,H95/C95*100,0),0)</f>
        <v>0</v>
      </c>
      <c r="L95" s="41">
        <f>IF(D95&lt;&gt;0,IF(I95&lt;&gt;0,I95/D95*100,0),0)</f>
        <v>0</v>
      </c>
      <c r="M95" s="41">
        <f>IF(E95&lt;&gt;0,IF(J95&lt;&gt;0,J95/E95*100,0),0)</f>
        <v>0</v>
      </c>
      <c r="O95" s="78">
        <f>H95+I95-J95</f>
        <v>0</v>
      </c>
    </row>
    <row r="96" spans="1:15" s="42" customFormat="1" ht="15.75" hidden="1">
      <c r="A96" s="35"/>
      <c r="B96" s="43"/>
      <c r="C96" s="44"/>
      <c r="D96" s="44"/>
      <c r="E96" s="44"/>
      <c r="F96" s="44"/>
      <c r="G96" s="44"/>
      <c r="H96" s="44"/>
      <c r="I96" s="41"/>
      <c r="J96" s="41"/>
      <c r="K96" s="41"/>
      <c r="L96" s="41"/>
      <c r="M96" s="41"/>
      <c r="O96" s="78"/>
    </row>
    <row r="97" spans="1:17" s="42" customFormat="1" ht="15.75">
      <c r="A97" s="35"/>
      <c r="B97" s="72" t="s">
        <v>96</v>
      </c>
      <c r="C97" s="41">
        <f>C99+C104</f>
        <v>516.5</v>
      </c>
      <c r="D97" s="41">
        <f>D99+D104</f>
        <v>133717</v>
      </c>
      <c r="E97" s="41">
        <f>C97+D97</f>
        <v>134233.5</v>
      </c>
      <c r="F97" s="41">
        <f>F99+F104</f>
        <v>2811.2000000000003</v>
      </c>
      <c r="G97" s="41">
        <f>G99+G104</f>
        <v>2811.2000000000003</v>
      </c>
      <c r="H97" s="41">
        <f>H106+H107+H108+H109+H110+H111</f>
        <v>5795.2</v>
      </c>
      <c r="I97" s="41">
        <f>I106+I107+I108+I109+I110+I111</f>
        <v>121297.2</v>
      </c>
      <c r="J97" s="41">
        <f>H97+I97</f>
        <v>127092.4</v>
      </c>
      <c r="K97" s="41">
        <f aca="true" t="shared" si="4" ref="K97:M98">IF(C97&lt;&gt;0,IF(H97&lt;&gt;0,H97/C97*100,0),0)</f>
        <v>1122.0135527589543</v>
      </c>
      <c r="L97" s="41">
        <f t="shared" si="4"/>
        <v>90.71187657515499</v>
      </c>
      <c r="M97" s="41">
        <f t="shared" si="4"/>
        <v>94.68009103539727</v>
      </c>
      <c r="N97" s="42">
        <v>124092.4</v>
      </c>
      <c r="O97" s="78">
        <f>H97+I97-J97</f>
        <v>0</v>
      </c>
      <c r="P97" s="42">
        <v>131790.7</v>
      </c>
      <c r="Q97" s="42">
        <f aca="true" t="shared" si="5" ref="Q97:Q128">N97-P97</f>
        <v>-7698.3000000000175</v>
      </c>
    </row>
    <row r="98" spans="1:17" s="42" customFormat="1" ht="15.75" hidden="1" outlineLevel="1">
      <c r="A98" s="35"/>
      <c r="B98" s="62" t="s">
        <v>37</v>
      </c>
      <c r="C98" s="41"/>
      <c r="D98" s="41"/>
      <c r="E98" s="41">
        <f>C98+D98</f>
        <v>0</v>
      </c>
      <c r="F98" s="41"/>
      <c r="G98" s="41"/>
      <c r="H98" s="44"/>
      <c r="I98" s="41"/>
      <c r="J98" s="41"/>
      <c r="K98" s="41">
        <f t="shared" si="4"/>
        <v>0</v>
      </c>
      <c r="L98" s="41">
        <f t="shared" si="4"/>
        <v>0</v>
      </c>
      <c r="M98" s="41">
        <f t="shared" si="4"/>
        <v>0</v>
      </c>
      <c r="O98" s="78">
        <f>H98+I98-J98</f>
        <v>0</v>
      </c>
      <c r="Q98" s="42">
        <f t="shared" si="5"/>
        <v>0</v>
      </c>
    </row>
    <row r="99" spans="1:17" s="42" customFormat="1" ht="15.75" hidden="1" outlineLevel="1">
      <c r="A99" s="35"/>
      <c r="B99" s="62"/>
      <c r="C99" s="44"/>
      <c r="D99" s="41"/>
      <c r="E99" s="44"/>
      <c r="F99" s="44"/>
      <c r="G99" s="44"/>
      <c r="H99" s="44"/>
      <c r="I99" s="44"/>
      <c r="J99" s="41"/>
      <c r="K99" s="41"/>
      <c r="L99" s="41"/>
      <c r="M99" s="41"/>
      <c r="O99" s="78"/>
      <c r="Q99" s="42">
        <f t="shared" si="5"/>
        <v>0</v>
      </c>
    </row>
    <row r="100" spans="1:17" s="42" customFormat="1" ht="15.75" hidden="1" outlineLevel="1">
      <c r="A100" s="35"/>
      <c r="B100" s="43"/>
      <c r="C100" s="41"/>
      <c r="D100" s="41"/>
      <c r="E100" s="44"/>
      <c r="F100" s="44"/>
      <c r="G100" s="44"/>
      <c r="H100" s="44"/>
      <c r="I100" s="41"/>
      <c r="J100" s="41"/>
      <c r="K100" s="41"/>
      <c r="L100" s="41"/>
      <c r="M100" s="41"/>
      <c r="O100" s="78"/>
      <c r="Q100" s="42">
        <f t="shared" si="5"/>
        <v>0</v>
      </c>
    </row>
    <row r="101" spans="1:17" s="42" customFormat="1" ht="15.75" hidden="1" outlineLevel="1">
      <c r="A101" s="35"/>
      <c r="B101" s="43"/>
      <c r="C101" s="41"/>
      <c r="D101" s="41"/>
      <c r="E101" s="44"/>
      <c r="F101" s="44"/>
      <c r="G101" s="44"/>
      <c r="H101" s="44"/>
      <c r="I101" s="44"/>
      <c r="J101" s="41"/>
      <c r="K101" s="41"/>
      <c r="L101" s="41"/>
      <c r="M101" s="41"/>
      <c r="O101" s="78"/>
      <c r="Q101" s="42">
        <f t="shared" si="5"/>
        <v>0</v>
      </c>
    </row>
    <row r="102" spans="1:17" s="42" customFormat="1" ht="15.75" hidden="1" outlineLevel="1">
      <c r="A102" s="35"/>
      <c r="B102" s="62"/>
      <c r="C102" s="44"/>
      <c r="D102" s="41"/>
      <c r="E102" s="44"/>
      <c r="F102" s="44"/>
      <c r="G102" s="44"/>
      <c r="H102" s="44"/>
      <c r="I102" s="44"/>
      <c r="J102" s="41"/>
      <c r="K102" s="41"/>
      <c r="L102" s="41"/>
      <c r="M102" s="41"/>
      <c r="O102" s="78"/>
      <c r="Q102" s="42">
        <f t="shared" si="5"/>
        <v>0</v>
      </c>
    </row>
    <row r="103" spans="1:17" s="42" customFormat="1" ht="15.75" hidden="1" outlineLevel="1">
      <c r="A103" s="35"/>
      <c r="B103" s="43"/>
      <c r="C103" s="44"/>
      <c r="D103" s="41"/>
      <c r="E103" s="44"/>
      <c r="F103" s="44"/>
      <c r="G103" s="44"/>
      <c r="H103" s="44"/>
      <c r="I103" s="44"/>
      <c r="J103" s="41"/>
      <c r="K103" s="41"/>
      <c r="L103" s="41"/>
      <c r="M103" s="41"/>
      <c r="O103" s="78"/>
      <c r="Q103" s="42">
        <f t="shared" si="5"/>
        <v>0</v>
      </c>
    </row>
    <row r="104" spans="1:17" s="42" customFormat="1" ht="45" hidden="1" outlineLevel="1">
      <c r="A104" s="35"/>
      <c r="B104" s="43" t="s">
        <v>97</v>
      </c>
      <c r="C104" s="44">
        <f>SUM(C106:C111)</f>
        <v>516.5</v>
      </c>
      <c r="D104" s="44">
        <f>SUM(D106:D111)-516.51</f>
        <v>133717</v>
      </c>
      <c r="E104" s="44">
        <f>C104+D104</f>
        <v>134233.5</v>
      </c>
      <c r="F104" s="44">
        <f>SUM(F106:F111)</f>
        <v>2811.2000000000003</v>
      </c>
      <c r="G104" s="44">
        <f>SUM(G106:G111)</f>
        <v>2811.2000000000003</v>
      </c>
      <c r="H104" s="44">
        <f>SUM(H106:H111)</f>
        <v>5795.2</v>
      </c>
      <c r="I104" s="44">
        <f>SUM(I106:I111)</f>
        <v>121297.2</v>
      </c>
      <c r="J104" s="44">
        <f>H104+I104</f>
        <v>127092.4</v>
      </c>
      <c r="K104" s="44">
        <f>IF(C104&lt;&gt;0,IF(H104&lt;&gt;0,H104/C104*100,0),0)</f>
        <v>1122.0135527589543</v>
      </c>
      <c r="L104" s="44">
        <f>IF(D104&lt;&gt;0,IF(I104&lt;&gt;0,I104/D104*100,0),0)</f>
        <v>90.71187657515499</v>
      </c>
      <c r="M104" s="44">
        <f>IF(E104&lt;&gt;0,IF(J104&lt;&gt;0,J104/E104*100,0),0)</f>
        <v>94.68009103539727</v>
      </c>
      <c r="O104" s="78">
        <f aca="true" t="shared" si="6" ref="O104:O114">H104+I104-J104</f>
        <v>0</v>
      </c>
      <c r="Q104" s="42">
        <f t="shared" si="5"/>
        <v>0</v>
      </c>
    </row>
    <row r="105" spans="1:17" s="42" customFormat="1" ht="15" collapsed="1">
      <c r="A105" s="35"/>
      <c r="B105" s="43" t="s">
        <v>98</v>
      </c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O105" s="78">
        <f t="shared" si="6"/>
        <v>0</v>
      </c>
      <c r="Q105" s="42">
        <f t="shared" si="5"/>
        <v>0</v>
      </c>
    </row>
    <row r="106" spans="1:17" s="42" customFormat="1" ht="30">
      <c r="A106" s="35">
        <v>103</v>
      </c>
      <c r="B106" s="43" t="s">
        <v>99</v>
      </c>
      <c r="C106" s="44"/>
      <c r="D106" s="44">
        <v>14153.6</v>
      </c>
      <c r="E106" s="44">
        <f aca="true" t="shared" si="7" ref="E106:E114">C106+D106</f>
        <v>14153.6</v>
      </c>
      <c r="F106" s="44"/>
      <c r="G106" s="44"/>
      <c r="H106" s="44">
        <v>600</v>
      </c>
      <c r="I106" s="44">
        <f>19736-1700+1100-3336+1100</f>
        <v>16900</v>
      </c>
      <c r="J106" s="44">
        <f aca="true" t="shared" si="8" ref="J106:J114">H106+I106</f>
        <v>17500</v>
      </c>
      <c r="K106" s="44">
        <f aca="true" t="shared" si="9" ref="K106:K114">IF(C106&lt;&gt;0,IF(H106&lt;&gt;0,H106/C106*100,0),0)</f>
        <v>0</v>
      </c>
      <c r="L106" s="44">
        <f aca="true" t="shared" si="10" ref="L106:L114">IF(D106&lt;&gt;0,IF(I106&lt;&gt;0,I106/D106*100,0),0)</f>
        <v>119.4042505087045</v>
      </c>
      <c r="M106" s="44">
        <f aca="true" t="shared" si="11" ref="M106:M114">IF(E106&lt;&gt;0,IF(J106&lt;&gt;0,J106/E106*100,0),0)</f>
        <v>123.64345466877684</v>
      </c>
      <c r="O106" s="78">
        <f t="shared" si="6"/>
        <v>0</v>
      </c>
      <c r="Q106" s="42">
        <f t="shared" si="5"/>
        <v>0</v>
      </c>
    </row>
    <row r="107" spans="1:17" s="42" customFormat="1" ht="30">
      <c r="A107" s="35">
        <v>104</v>
      </c>
      <c r="B107" s="43" t="s">
        <v>100</v>
      </c>
      <c r="C107" s="44">
        <v>516.5</v>
      </c>
      <c r="D107" s="44">
        <v>143894.01</v>
      </c>
      <c r="E107" s="44">
        <f t="shared" si="7"/>
        <v>144410.51</v>
      </c>
      <c r="F107" s="44">
        <f>2655.4+155.8</f>
        <v>2811.2000000000003</v>
      </c>
      <c r="G107" s="44">
        <f>2655.4+155.8</f>
        <v>2811.2000000000003</v>
      </c>
      <c r="H107" s="44">
        <f>4250+645.2</f>
        <v>4895.2</v>
      </c>
      <c r="I107" s="44">
        <f>135511-6250+722.5+7945+1100+800</f>
        <v>139828.5</v>
      </c>
      <c r="J107" s="44">
        <f t="shared" si="8"/>
        <v>144723.7</v>
      </c>
      <c r="K107" s="44">
        <f t="shared" si="9"/>
        <v>947.7637947725071</v>
      </c>
      <c r="L107" s="44">
        <f t="shared" si="10"/>
        <v>97.17464959104274</v>
      </c>
      <c r="M107" s="44">
        <f t="shared" si="11"/>
        <v>100.21687479671667</v>
      </c>
      <c r="O107" s="78">
        <f t="shared" si="6"/>
        <v>0</v>
      </c>
      <c r="Q107" s="42">
        <f t="shared" si="5"/>
        <v>0</v>
      </c>
    </row>
    <row r="108" spans="1:17" s="42" customFormat="1" ht="45">
      <c r="A108" s="35">
        <v>106</v>
      </c>
      <c r="B108" s="43" t="s">
        <v>101</v>
      </c>
      <c r="C108" s="44"/>
      <c r="D108" s="44">
        <v>3005</v>
      </c>
      <c r="E108" s="44">
        <f t="shared" si="7"/>
        <v>3005</v>
      </c>
      <c r="F108" s="44"/>
      <c r="G108" s="44"/>
      <c r="H108" s="44">
        <v>300</v>
      </c>
      <c r="I108" s="44">
        <f>4410-300</f>
        <v>4110</v>
      </c>
      <c r="J108" s="44">
        <f t="shared" si="8"/>
        <v>4410</v>
      </c>
      <c r="K108" s="44">
        <f t="shared" si="9"/>
        <v>0</v>
      </c>
      <c r="L108" s="44">
        <f t="shared" si="10"/>
        <v>136.7720465890183</v>
      </c>
      <c r="M108" s="44">
        <f t="shared" si="11"/>
        <v>146.75540765391014</v>
      </c>
      <c r="O108" s="78">
        <f t="shared" si="6"/>
        <v>0</v>
      </c>
      <c r="Q108" s="42">
        <f t="shared" si="5"/>
        <v>0</v>
      </c>
    </row>
    <row r="109" spans="1:17" s="42" customFormat="1" ht="30">
      <c r="A109" s="35">
        <v>112</v>
      </c>
      <c r="B109" s="43" t="s">
        <v>102</v>
      </c>
      <c r="C109" s="44"/>
      <c r="D109" s="44">
        <v>3000</v>
      </c>
      <c r="E109" s="44">
        <f t="shared" si="7"/>
        <v>3000</v>
      </c>
      <c r="F109" s="44"/>
      <c r="G109" s="44"/>
      <c r="H109" s="44"/>
      <c r="I109" s="44">
        <v>5000</v>
      </c>
      <c r="J109" s="44">
        <f t="shared" si="8"/>
        <v>5000</v>
      </c>
      <c r="K109" s="44">
        <f t="shared" si="9"/>
        <v>0</v>
      </c>
      <c r="L109" s="44">
        <f t="shared" si="10"/>
        <v>166.66666666666669</v>
      </c>
      <c r="M109" s="44">
        <f t="shared" si="11"/>
        <v>166.66666666666669</v>
      </c>
      <c r="O109" s="78">
        <f t="shared" si="6"/>
        <v>0</v>
      </c>
      <c r="Q109" s="42">
        <f t="shared" si="5"/>
        <v>0</v>
      </c>
    </row>
    <row r="110" spans="1:17" s="42" customFormat="1" ht="15">
      <c r="A110" s="35">
        <v>113</v>
      </c>
      <c r="B110" s="43" t="s">
        <v>103</v>
      </c>
      <c r="C110" s="44"/>
      <c r="D110" s="44">
        <v>100</v>
      </c>
      <c r="E110" s="44">
        <f t="shared" si="7"/>
        <v>100</v>
      </c>
      <c r="F110" s="44"/>
      <c r="G110" s="44"/>
      <c r="H110" s="44"/>
      <c r="I110" s="44">
        <v>800</v>
      </c>
      <c r="J110" s="44">
        <f t="shared" si="8"/>
        <v>800</v>
      </c>
      <c r="K110" s="44">
        <f t="shared" si="9"/>
        <v>0</v>
      </c>
      <c r="L110" s="44">
        <f t="shared" si="10"/>
        <v>800</v>
      </c>
      <c r="M110" s="44">
        <f t="shared" si="11"/>
        <v>800</v>
      </c>
      <c r="O110" s="78">
        <f t="shared" si="6"/>
        <v>0</v>
      </c>
      <c r="Q110" s="42">
        <f t="shared" si="5"/>
        <v>0</v>
      </c>
    </row>
    <row r="111" spans="1:17" s="42" customFormat="1" ht="30">
      <c r="A111" s="35">
        <v>115</v>
      </c>
      <c r="B111" s="43" t="s">
        <v>104</v>
      </c>
      <c r="C111" s="44"/>
      <c r="D111" s="44">
        <v>-29919.1</v>
      </c>
      <c r="E111" s="44">
        <f t="shared" si="7"/>
        <v>-29919.1</v>
      </c>
      <c r="F111" s="44"/>
      <c r="G111" s="44"/>
      <c r="H111" s="44"/>
      <c r="I111" s="44">
        <f>7775+4.5+964.2-54085</f>
        <v>-45341.3</v>
      </c>
      <c r="J111" s="44">
        <f t="shared" si="8"/>
        <v>-45341.3</v>
      </c>
      <c r="K111" s="44">
        <f t="shared" si="9"/>
        <v>0</v>
      </c>
      <c r="L111" s="44">
        <f t="shared" si="10"/>
        <v>151.54633662108822</v>
      </c>
      <c r="M111" s="44">
        <f t="shared" si="11"/>
        <v>151.54633662108822</v>
      </c>
      <c r="O111" s="78">
        <f t="shared" si="6"/>
        <v>0</v>
      </c>
      <c r="Q111" s="42">
        <f t="shared" si="5"/>
        <v>0</v>
      </c>
    </row>
    <row r="112" spans="1:17" s="61" customFormat="1" ht="15.75">
      <c r="A112" s="60"/>
      <c r="B112" s="40" t="s">
        <v>105</v>
      </c>
      <c r="C112" s="41">
        <f>C113</f>
        <v>0</v>
      </c>
      <c r="D112" s="41">
        <f>D113</f>
        <v>90</v>
      </c>
      <c r="E112" s="41">
        <f t="shared" si="7"/>
        <v>90</v>
      </c>
      <c r="F112" s="41">
        <f>F113</f>
        <v>0</v>
      </c>
      <c r="G112" s="41">
        <f>G113</f>
        <v>0</v>
      </c>
      <c r="H112" s="41">
        <f>H113</f>
        <v>0</v>
      </c>
      <c r="I112" s="41">
        <f>I113</f>
        <v>100</v>
      </c>
      <c r="J112" s="41">
        <f t="shared" si="8"/>
        <v>100</v>
      </c>
      <c r="K112" s="41">
        <f t="shared" si="9"/>
        <v>0</v>
      </c>
      <c r="L112" s="41">
        <f t="shared" si="10"/>
        <v>111.11111111111111</v>
      </c>
      <c r="M112" s="41">
        <f t="shared" si="11"/>
        <v>111.11111111111111</v>
      </c>
      <c r="N112" s="61">
        <v>100</v>
      </c>
      <c r="O112" s="78">
        <f t="shared" si="6"/>
        <v>0</v>
      </c>
      <c r="P112" s="61">
        <v>100</v>
      </c>
      <c r="Q112" s="42">
        <f t="shared" si="5"/>
        <v>0</v>
      </c>
    </row>
    <row r="113" spans="1:17" s="42" customFormat="1" ht="30">
      <c r="A113" s="35">
        <v>202</v>
      </c>
      <c r="B113" s="43" t="s">
        <v>106</v>
      </c>
      <c r="C113" s="44"/>
      <c r="D113" s="44">
        <v>90</v>
      </c>
      <c r="E113" s="44">
        <f t="shared" si="7"/>
        <v>90</v>
      </c>
      <c r="F113" s="44"/>
      <c r="G113" s="44"/>
      <c r="H113" s="44"/>
      <c r="I113" s="44">
        <v>100</v>
      </c>
      <c r="J113" s="44">
        <f t="shared" si="8"/>
        <v>100</v>
      </c>
      <c r="K113" s="44">
        <f t="shared" si="9"/>
        <v>0</v>
      </c>
      <c r="L113" s="44">
        <f t="shared" si="10"/>
        <v>111.11111111111111</v>
      </c>
      <c r="M113" s="44">
        <f t="shared" si="11"/>
        <v>111.11111111111111</v>
      </c>
      <c r="O113" s="78">
        <f t="shared" si="6"/>
        <v>0</v>
      </c>
      <c r="Q113" s="42">
        <f t="shared" si="5"/>
        <v>0</v>
      </c>
    </row>
    <row r="114" spans="1:17" s="42" customFormat="1" ht="31.5">
      <c r="A114" s="35"/>
      <c r="B114" s="79" t="s">
        <v>107</v>
      </c>
      <c r="C114" s="41">
        <f>C119+C122</f>
        <v>0</v>
      </c>
      <c r="D114" s="41">
        <f>D119+D122</f>
        <v>99804.09999999999</v>
      </c>
      <c r="E114" s="41">
        <f t="shared" si="7"/>
        <v>99804.09999999999</v>
      </c>
      <c r="F114" s="41">
        <f>F119+F122</f>
        <v>0</v>
      </c>
      <c r="G114" s="41">
        <f>G119+G122</f>
        <v>0</v>
      </c>
      <c r="H114" s="41">
        <f>H119+H122</f>
        <v>1100</v>
      </c>
      <c r="I114" s="41">
        <f>I119+I122</f>
        <v>106976.5</v>
      </c>
      <c r="J114" s="41">
        <f t="shared" si="8"/>
        <v>108076.5</v>
      </c>
      <c r="K114" s="41">
        <f t="shared" si="9"/>
        <v>0</v>
      </c>
      <c r="L114" s="41">
        <f t="shared" si="10"/>
        <v>107.18647831101129</v>
      </c>
      <c r="M114" s="41">
        <f t="shared" si="11"/>
        <v>108.28863744074644</v>
      </c>
      <c r="N114" s="42">
        <v>108076.5</v>
      </c>
      <c r="O114" s="78">
        <f t="shared" si="6"/>
        <v>0</v>
      </c>
      <c r="P114" s="42">
        <v>117776.5</v>
      </c>
      <c r="Q114" s="42">
        <f t="shared" si="5"/>
        <v>-9700</v>
      </c>
    </row>
    <row r="115" spans="1:17" s="42" customFormat="1" ht="15.75" hidden="1" outlineLevel="1">
      <c r="A115" s="35"/>
      <c r="B115" s="79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O115" s="78"/>
      <c r="Q115" s="42">
        <f t="shared" si="5"/>
        <v>0</v>
      </c>
    </row>
    <row r="116" spans="1:17" s="42" customFormat="1" ht="15.75" hidden="1" outlineLevel="1">
      <c r="A116" s="35"/>
      <c r="B116" s="79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O116" s="78"/>
      <c r="Q116" s="42">
        <f t="shared" si="5"/>
        <v>0</v>
      </c>
    </row>
    <row r="117" spans="1:17" s="42" customFormat="1" ht="15.75" hidden="1" outlineLevel="1">
      <c r="A117" s="35"/>
      <c r="B117" s="79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O117" s="78"/>
      <c r="Q117" s="42">
        <f t="shared" si="5"/>
        <v>0</v>
      </c>
    </row>
    <row r="118" spans="1:17" s="42" customFormat="1" ht="15.75" hidden="1" outlineLevel="1">
      <c r="A118" s="35"/>
      <c r="B118" s="62"/>
      <c r="C118" s="41"/>
      <c r="D118" s="41"/>
      <c r="E118" s="41"/>
      <c r="F118" s="41"/>
      <c r="G118" s="41"/>
      <c r="H118" s="44"/>
      <c r="I118" s="41"/>
      <c r="J118" s="41"/>
      <c r="K118" s="41"/>
      <c r="L118" s="41"/>
      <c r="M118" s="41"/>
      <c r="O118" s="78">
        <f>H118+I118-J118</f>
        <v>0</v>
      </c>
      <c r="Q118" s="42">
        <f t="shared" si="5"/>
        <v>0</v>
      </c>
    </row>
    <row r="119" spans="1:17" s="42" customFormat="1" ht="15.75" hidden="1" outlineLevel="1">
      <c r="A119" s="35"/>
      <c r="B119" s="62"/>
      <c r="C119" s="41"/>
      <c r="D119" s="44"/>
      <c r="E119" s="44"/>
      <c r="F119" s="44"/>
      <c r="G119" s="44"/>
      <c r="H119" s="41"/>
      <c r="I119" s="41"/>
      <c r="J119" s="41"/>
      <c r="K119" s="41"/>
      <c r="L119" s="41"/>
      <c r="M119" s="41"/>
      <c r="O119" s="78">
        <f>H119+I119-J119</f>
        <v>0</v>
      </c>
      <c r="Q119" s="42">
        <f t="shared" si="5"/>
        <v>0</v>
      </c>
    </row>
    <row r="120" spans="1:17" s="42" customFormat="1" ht="15.75" hidden="1" outlineLevel="1">
      <c r="A120" s="35"/>
      <c r="B120" s="43"/>
      <c r="C120" s="41"/>
      <c r="D120" s="41"/>
      <c r="E120" s="41"/>
      <c r="F120" s="41"/>
      <c r="G120" s="41"/>
      <c r="H120" s="44"/>
      <c r="I120" s="41"/>
      <c r="J120" s="41"/>
      <c r="K120" s="41"/>
      <c r="L120" s="41"/>
      <c r="M120" s="41"/>
      <c r="O120" s="78">
        <f>H120+I120-J120</f>
        <v>0</v>
      </c>
      <c r="Q120" s="42">
        <f t="shared" si="5"/>
        <v>0</v>
      </c>
    </row>
    <row r="121" spans="1:17" s="42" customFormat="1" ht="15.75" hidden="1" outlineLevel="1">
      <c r="A121" s="35"/>
      <c r="B121" s="43"/>
      <c r="C121" s="41"/>
      <c r="D121" s="41"/>
      <c r="E121" s="41"/>
      <c r="F121" s="41"/>
      <c r="G121" s="41"/>
      <c r="H121" s="44"/>
      <c r="I121" s="41"/>
      <c r="J121" s="44"/>
      <c r="K121" s="41"/>
      <c r="L121" s="41"/>
      <c r="M121" s="41"/>
      <c r="O121" s="78"/>
      <c r="Q121" s="42">
        <f t="shared" si="5"/>
        <v>0</v>
      </c>
    </row>
    <row r="122" spans="1:17" s="42" customFormat="1" ht="45" hidden="1" outlineLevel="1">
      <c r="A122" s="35"/>
      <c r="B122" s="43" t="s">
        <v>97</v>
      </c>
      <c r="C122" s="44">
        <f>C124+C125</f>
        <v>0</v>
      </c>
      <c r="D122" s="44">
        <f>D124+D125+D126</f>
        <v>99804.09999999999</v>
      </c>
      <c r="E122" s="44">
        <f>C122+D122</f>
        <v>99804.09999999999</v>
      </c>
      <c r="F122" s="44">
        <f>F124+F125</f>
        <v>0</v>
      </c>
      <c r="G122" s="44">
        <f>G124+G125</f>
        <v>0</v>
      </c>
      <c r="H122" s="44">
        <f>H124+H125</f>
        <v>1100</v>
      </c>
      <c r="I122" s="44">
        <f>I124+I125</f>
        <v>106976.5</v>
      </c>
      <c r="J122" s="44">
        <f>H122+I122</f>
        <v>108076.5</v>
      </c>
      <c r="K122" s="44">
        <f>IF(C122&lt;&gt;0,IF(H122&lt;&gt;0,H122/C122*100,0),0)</f>
        <v>0</v>
      </c>
      <c r="L122" s="44">
        <f>IF(D122&lt;&gt;0,IF(I122&lt;&gt;0,I122/D122*100,0),0)</f>
        <v>107.18647831101129</v>
      </c>
      <c r="M122" s="44">
        <f>IF(E122&lt;&gt;0,IF(J122&lt;&gt;0,J122/E122*100,0),0)</f>
        <v>108.28863744074644</v>
      </c>
      <c r="O122" s="78">
        <f>H122+I122-J122</f>
        <v>0</v>
      </c>
      <c r="Q122" s="42">
        <f t="shared" si="5"/>
        <v>0</v>
      </c>
    </row>
    <row r="123" spans="1:17" s="42" customFormat="1" ht="15" collapsed="1">
      <c r="A123" s="35"/>
      <c r="B123" s="43" t="s">
        <v>98</v>
      </c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O123" s="78">
        <f>H123+I123-J123</f>
        <v>0</v>
      </c>
      <c r="Q123" s="42">
        <f t="shared" si="5"/>
        <v>0</v>
      </c>
    </row>
    <row r="124" spans="1:17" s="42" customFormat="1" ht="15">
      <c r="A124" s="35">
        <v>302</v>
      </c>
      <c r="B124" s="43" t="s">
        <v>108</v>
      </c>
      <c r="C124" s="44"/>
      <c r="D124" s="44">
        <v>92491.4</v>
      </c>
      <c r="E124" s="44">
        <f aca="true" t="shared" si="12" ref="E124:E131">C124+D124</f>
        <v>92491.4</v>
      </c>
      <c r="F124" s="44"/>
      <c r="G124" s="44"/>
      <c r="H124" s="44">
        <v>1100</v>
      </c>
      <c r="I124" s="44">
        <f>91810+7200+1024.5</f>
        <v>100034.5</v>
      </c>
      <c r="J124" s="44">
        <f>H124+I124</f>
        <v>101134.5</v>
      </c>
      <c r="K124" s="44">
        <f aca="true" t="shared" si="13" ref="K124:M125">IF(C124&lt;&gt;0,IF(H124&lt;&gt;0,H124/C124*100,0),0)</f>
        <v>0</v>
      </c>
      <c r="L124" s="44">
        <f t="shared" si="13"/>
        <v>108.15546094015227</v>
      </c>
      <c r="M124" s="44">
        <f t="shared" si="13"/>
        <v>109.34476070207609</v>
      </c>
      <c r="O124" s="78">
        <f>H124+I124-J124</f>
        <v>0</v>
      </c>
      <c r="Q124" s="42">
        <f t="shared" si="5"/>
        <v>0</v>
      </c>
    </row>
    <row r="125" spans="1:17" s="42" customFormat="1" ht="30">
      <c r="A125" s="35">
        <v>309</v>
      </c>
      <c r="B125" s="43" t="s">
        <v>109</v>
      </c>
      <c r="C125" s="44"/>
      <c r="D125" s="44">
        <v>6491.9</v>
      </c>
      <c r="E125" s="44">
        <f t="shared" si="12"/>
        <v>6491.9</v>
      </c>
      <c r="F125" s="44"/>
      <c r="G125" s="44"/>
      <c r="H125" s="44"/>
      <c r="I125" s="44">
        <f>6762+180</f>
        <v>6942</v>
      </c>
      <c r="J125" s="44">
        <f>H125+I125</f>
        <v>6942</v>
      </c>
      <c r="K125" s="44">
        <f t="shared" si="13"/>
        <v>0</v>
      </c>
      <c r="L125" s="44">
        <f t="shared" si="13"/>
        <v>106.93325528735811</v>
      </c>
      <c r="M125" s="44">
        <f t="shared" si="13"/>
        <v>106.93325528735811</v>
      </c>
      <c r="O125" s="78">
        <f>H125+I125-J125</f>
        <v>0</v>
      </c>
      <c r="Q125" s="42">
        <f t="shared" si="5"/>
        <v>0</v>
      </c>
    </row>
    <row r="126" spans="1:17" s="42" customFormat="1" ht="30">
      <c r="A126" s="35">
        <v>310</v>
      </c>
      <c r="B126" s="43" t="s">
        <v>110</v>
      </c>
      <c r="C126" s="44"/>
      <c r="D126" s="44">
        <v>820.8</v>
      </c>
      <c r="E126" s="44">
        <f t="shared" si="12"/>
        <v>820.8</v>
      </c>
      <c r="F126" s="44"/>
      <c r="G126" s="44"/>
      <c r="H126" s="44"/>
      <c r="I126" s="44"/>
      <c r="J126" s="44"/>
      <c r="K126" s="44"/>
      <c r="L126" s="44"/>
      <c r="M126" s="44"/>
      <c r="O126" s="78"/>
      <c r="Q126" s="42">
        <f t="shared" si="5"/>
        <v>0</v>
      </c>
    </row>
    <row r="127" spans="1:17" s="42" customFormat="1" ht="15.75">
      <c r="A127" s="35"/>
      <c r="B127" s="79" t="s">
        <v>111</v>
      </c>
      <c r="C127" s="80">
        <f>C129+C131</f>
        <v>0</v>
      </c>
      <c r="D127" s="80">
        <f>D129+D131</f>
        <v>62813.26</v>
      </c>
      <c r="E127" s="80">
        <f t="shared" si="12"/>
        <v>62813.26</v>
      </c>
      <c r="F127" s="80">
        <f>F129+F131</f>
        <v>0</v>
      </c>
      <c r="G127" s="80">
        <f>G129+G131</f>
        <v>0</v>
      </c>
      <c r="H127" s="80">
        <f>H129+H131</f>
        <v>0</v>
      </c>
      <c r="I127" s="80">
        <f>I129+I131</f>
        <v>28394</v>
      </c>
      <c r="J127" s="80">
        <f>H127+I127</f>
        <v>28394</v>
      </c>
      <c r="K127" s="80">
        <f aca="true" t="shared" si="14" ref="K127:M131">IF(C127&lt;&gt;0,IF(H127&lt;&gt;0,H127/C127*100,0),0)</f>
        <v>0</v>
      </c>
      <c r="L127" s="80">
        <f t="shared" si="14"/>
        <v>45.2038311655851</v>
      </c>
      <c r="M127" s="80">
        <f t="shared" si="14"/>
        <v>45.2038311655851</v>
      </c>
      <c r="N127" s="42">
        <v>21394</v>
      </c>
      <c r="O127" s="78">
        <f aca="true" t="shared" si="15" ref="O127:O135">H127+I127-J127</f>
        <v>0</v>
      </c>
      <c r="P127" s="42">
        <v>21394</v>
      </c>
      <c r="Q127" s="42">
        <f t="shared" si="5"/>
        <v>0</v>
      </c>
    </row>
    <row r="128" spans="1:17" s="42" customFormat="1" ht="15.75" hidden="1" outlineLevel="1">
      <c r="A128" s="35"/>
      <c r="B128" s="62" t="s">
        <v>37</v>
      </c>
      <c r="C128" s="80"/>
      <c r="D128" s="80"/>
      <c r="E128" s="80">
        <f t="shared" si="12"/>
        <v>0</v>
      </c>
      <c r="F128" s="80"/>
      <c r="G128" s="80"/>
      <c r="H128" s="44"/>
      <c r="I128" s="80"/>
      <c r="J128" s="80">
        <f>H128+I128</f>
        <v>0</v>
      </c>
      <c r="K128" s="80">
        <f t="shared" si="14"/>
        <v>0</v>
      </c>
      <c r="L128" s="80">
        <f t="shared" si="14"/>
        <v>0</v>
      </c>
      <c r="M128" s="80">
        <f t="shared" si="14"/>
        <v>0</v>
      </c>
      <c r="O128" s="78">
        <f t="shared" si="15"/>
        <v>0</v>
      </c>
      <c r="Q128" s="42">
        <f t="shared" si="5"/>
        <v>0</v>
      </c>
    </row>
    <row r="129" spans="1:17" s="42" customFormat="1" ht="30" hidden="1" outlineLevel="1">
      <c r="A129" s="35"/>
      <c r="B129" s="62" t="s">
        <v>95</v>
      </c>
      <c r="C129" s="80"/>
      <c r="D129" s="81">
        <v>0</v>
      </c>
      <c r="E129" s="81">
        <f t="shared" si="12"/>
        <v>0</v>
      </c>
      <c r="F129" s="81"/>
      <c r="G129" s="81"/>
      <c r="H129" s="44"/>
      <c r="I129" s="80"/>
      <c r="J129" s="80">
        <f>H129+I129</f>
        <v>0</v>
      </c>
      <c r="K129" s="80">
        <f t="shared" si="14"/>
        <v>0</v>
      </c>
      <c r="L129" s="80">
        <f t="shared" si="14"/>
        <v>0</v>
      </c>
      <c r="M129" s="80">
        <f t="shared" si="14"/>
        <v>0</v>
      </c>
      <c r="O129" s="78">
        <f t="shared" si="15"/>
        <v>0</v>
      </c>
      <c r="Q129" s="42">
        <f aca="true" t="shared" si="16" ref="Q129:Q160">N129-P129</f>
        <v>0</v>
      </c>
    </row>
    <row r="130" spans="1:17" s="42" customFormat="1" ht="15.75" hidden="1" outlineLevel="1">
      <c r="A130" s="35"/>
      <c r="B130" s="43" t="s">
        <v>98</v>
      </c>
      <c r="C130" s="80"/>
      <c r="D130" s="81"/>
      <c r="E130" s="81">
        <f t="shared" si="12"/>
        <v>0</v>
      </c>
      <c r="F130" s="81"/>
      <c r="G130" s="81"/>
      <c r="H130" s="44"/>
      <c r="I130" s="80"/>
      <c r="J130" s="80">
        <f>H130+I130</f>
        <v>0</v>
      </c>
      <c r="K130" s="80">
        <f t="shared" si="14"/>
        <v>0</v>
      </c>
      <c r="L130" s="80">
        <f t="shared" si="14"/>
        <v>0</v>
      </c>
      <c r="M130" s="80">
        <f t="shared" si="14"/>
        <v>0</v>
      </c>
      <c r="O130" s="78">
        <f t="shared" si="15"/>
        <v>0</v>
      </c>
      <c r="Q130" s="42">
        <f t="shared" si="16"/>
        <v>0</v>
      </c>
    </row>
    <row r="131" spans="1:17" s="42" customFormat="1" ht="45" hidden="1" outlineLevel="1">
      <c r="A131" s="35"/>
      <c r="B131" s="43" t="s">
        <v>112</v>
      </c>
      <c r="C131" s="81">
        <f>SUM(C133:C137)</f>
        <v>0</v>
      </c>
      <c r="D131" s="81">
        <f>SUM(D133:D137)</f>
        <v>62813.26</v>
      </c>
      <c r="E131" s="81">
        <f t="shared" si="12"/>
        <v>62813.26</v>
      </c>
      <c r="F131" s="81">
        <f>SUM(F133:F137)</f>
        <v>0</v>
      </c>
      <c r="G131" s="81">
        <f>SUM(G133:G137)</f>
        <v>0</v>
      </c>
      <c r="H131" s="81">
        <f>SUM(H133:H137)</f>
        <v>0</v>
      </c>
      <c r="I131" s="81">
        <f>SUM(I133:I137)</f>
        <v>28394</v>
      </c>
      <c r="J131" s="81">
        <f>H131+I131</f>
        <v>28394</v>
      </c>
      <c r="K131" s="81">
        <f t="shared" si="14"/>
        <v>0</v>
      </c>
      <c r="L131" s="81">
        <f t="shared" si="14"/>
        <v>45.2038311655851</v>
      </c>
      <c r="M131" s="81">
        <f t="shared" si="14"/>
        <v>45.2038311655851</v>
      </c>
      <c r="O131" s="78">
        <f t="shared" si="15"/>
        <v>0</v>
      </c>
      <c r="Q131" s="42">
        <f t="shared" si="16"/>
        <v>0</v>
      </c>
    </row>
    <row r="132" spans="1:17" s="42" customFormat="1" ht="15" collapsed="1">
      <c r="A132" s="35"/>
      <c r="B132" s="43" t="s">
        <v>98</v>
      </c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O132" s="78">
        <f t="shared" si="15"/>
        <v>0</v>
      </c>
      <c r="Q132" s="42">
        <f t="shared" si="16"/>
        <v>0</v>
      </c>
    </row>
    <row r="133" spans="1:17" s="42" customFormat="1" ht="30">
      <c r="A133" s="35">
        <v>405</v>
      </c>
      <c r="B133" s="43" t="s">
        <v>113</v>
      </c>
      <c r="C133" s="44"/>
      <c r="D133" s="44">
        <v>132.6</v>
      </c>
      <c r="E133" s="44">
        <f aca="true" t="shared" si="17" ref="E133:E138">C133+D133</f>
        <v>132.6</v>
      </c>
      <c r="F133" s="44"/>
      <c r="G133" s="44"/>
      <c r="H133" s="44"/>
      <c r="I133" s="44"/>
      <c r="J133" s="44">
        <f>H133+I133</f>
        <v>0</v>
      </c>
      <c r="K133" s="44">
        <f aca="true" t="shared" si="18" ref="K133:M135">IF(C133&lt;&gt;0,IF(H133&lt;&gt;0,H133/C133*100,0),0)</f>
        <v>0</v>
      </c>
      <c r="L133" s="44">
        <f t="shared" si="18"/>
        <v>0</v>
      </c>
      <c r="M133" s="44">
        <f t="shared" si="18"/>
        <v>0</v>
      </c>
      <c r="O133" s="78">
        <f t="shared" si="15"/>
        <v>0</v>
      </c>
      <c r="Q133" s="42">
        <f t="shared" si="16"/>
        <v>0</v>
      </c>
    </row>
    <row r="134" spans="1:17" s="42" customFormat="1" ht="15">
      <c r="A134" s="35">
        <v>407</v>
      </c>
      <c r="B134" s="43" t="s">
        <v>114</v>
      </c>
      <c r="C134" s="44"/>
      <c r="D134" s="44">
        <v>8549.46</v>
      </c>
      <c r="E134" s="44">
        <f t="shared" si="17"/>
        <v>8549.46</v>
      </c>
      <c r="F134" s="44"/>
      <c r="G134" s="44"/>
      <c r="H134" s="44"/>
      <c r="I134" s="44">
        <f>9640+74</f>
        <v>9714</v>
      </c>
      <c r="J134" s="44">
        <f>H134+I134</f>
        <v>9714</v>
      </c>
      <c r="K134" s="44">
        <f t="shared" si="18"/>
        <v>0</v>
      </c>
      <c r="L134" s="44">
        <f t="shared" si="18"/>
        <v>113.62121116421389</v>
      </c>
      <c r="M134" s="44">
        <f t="shared" si="18"/>
        <v>113.62121116421389</v>
      </c>
      <c r="O134" s="78">
        <f t="shared" si="15"/>
        <v>0</v>
      </c>
      <c r="Q134" s="42">
        <f t="shared" si="16"/>
        <v>0</v>
      </c>
    </row>
    <row r="135" spans="1:17" s="42" customFormat="1" ht="15">
      <c r="A135" s="35">
        <v>408</v>
      </c>
      <c r="B135" s="43" t="s">
        <v>115</v>
      </c>
      <c r="C135" s="44"/>
      <c r="D135" s="44">
        <v>23481</v>
      </c>
      <c r="E135" s="44">
        <f t="shared" si="17"/>
        <v>23481</v>
      </c>
      <c r="F135" s="44"/>
      <c r="G135" s="44"/>
      <c r="H135" s="44"/>
      <c r="I135" s="44">
        <f>21680-3000</f>
        <v>18680</v>
      </c>
      <c r="J135" s="44">
        <f>H135+I135</f>
        <v>18680</v>
      </c>
      <c r="K135" s="44">
        <f t="shared" si="18"/>
        <v>0</v>
      </c>
      <c r="L135" s="44">
        <f t="shared" si="18"/>
        <v>79.55368170009795</v>
      </c>
      <c r="M135" s="44">
        <f t="shared" si="18"/>
        <v>79.55368170009795</v>
      </c>
      <c r="O135" s="78">
        <f t="shared" si="15"/>
        <v>0</v>
      </c>
      <c r="Q135" s="42">
        <f t="shared" si="16"/>
        <v>0</v>
      </c>
    </row>
    <row r="136" spans="1:17" s="42" customFormat="1" ht="15">
      <c r="A136" s="35">
        <v>409</v>
      </c>
      <c r="B136" s="43" t="s">
        <v>116</v>
      </c>
      <c r="C136" s="44"/>
      <c r="D136" s="44">
        <v>27715.8</v>
      </c>
      <c r="E136" s="44">
        <f t="shared" si="17"/>
        <v>27715.8</v>
      </c>
      <c r="F136" s="44"/>
      <c r="G136" s="44"/>
      <c r="H136" s="44"/>
      <c r="I136" s="44"/>
      <c r="J136" s="44"/>
      <c r="K136" s="44"/>
      <c r="L136" s="44"/>
      <c r="M136" s="44"/>
      <c r="O136" s="78"/>
      <c r="Q136" s="42">
        <f t="shared" si="16"/>
        <v>0</v>
      </c>
    </row>
    <row r="137" spans="1:17" s="42" customFormat="1" ht="30">
      <c r="A137" s="35">
        <v>411</v>
      </c>
      <c r="B137" s="43" t="s">
        <v>117</v>
      </c>
      <c r="C137" s="44"/>
      <c r="D137" s="44">
        <v>2934.4</v>
      </c>
      <c r="E137" s="44">
        <f t="shared" si="17"/>
        <v>2934.4</v>
      </c>
      <c r="F137" s="44"/>
      <c r="G137" s="44"/>
      <c r="H137" s="44"/>
      <c r="I137" s="44"/>
      <c r="J137" s="44">
        <f>H137+I137</f>
        <v>0</v>
      </c>
      <c r="K137" s="44">
        <f aca="true" t="shared" si="19" ref="K137:M138">IF(C137&lt;&gt;0,IF(H137&lt;&gt;0,H137/C137*100,0),0)</f>
        <v>0</v>
      </c>
      <c r="L137" s="44">
        <f t="shared" si="19"/>
        <v>0</v>
      </c>
      <c r="M137" s="44">
        <f t="shared" si="19"/>
        <v>0</v>
      </c>
      <c r="O137" s="78">
        <f>H137+I137-J137</f>
        <v>0</v>
      </c>
      <c r="Q137" s="42">
        <f t="shared" si="16"/>
        <v>0</v>
      </c>
    </row>
    <row r="138" spans="1:17" s="61" customFormat="1" ht="31.5">
      <c r="A138" s="60"/>
      <c r="B138" s="40" t="s">
        <v>118</v>
      </c>
      <c r="C138" s="41">
        <f>C140+C144</f>
        <v>358012</v>
      </c>
      <c r="D138" s="41">
        <f>D140+D144</f>
        <v>287644.06</v>
      </c>
      <c r="E138" s="41">
        <f t="shared" si="17"/>
        <v>645656.06</v>
      </c>
      <c r="F138" s="41">
        <f>F140+F144</f>
        <v>0</v>
      </c>
      <c r="G138" s="41">
        <f>G140+G144</f>
        <v>0</v>
      </c>
      <c r="H138" s="41">
        <f>H140+H144</f>
        <v>305209</v>
      </c>
      <c r="I138" s="41">
        <f>I140+I144</f>
        <v>365801.3</v>
      </c>
      <c r="J138" s="41">
        <f>H138+I138</f>
        <v>671010.3</v>
      </c>
      <c r="K138" s="41">
        <f t="shared" si="19"/>
        <v>85.25105303732836</v>
      </c>
      <c r="L138" s="41">
        <f t="shared" si="19"/>
        <v>127.1715119025924</v>
      </c>
      <c r="M138" s="41">
        <f t="shared" si="19"/>
        <v>103.9268956911827</v>
      </c>
      <c r="N138" s="61">
        <v>723914.3</v>
      </c>
      <c r="O138" s="78">
        <f>H138+I138-J138</f>
        <v>0</v>
      </c>
      <c r="P138" s="61">
        <v>779240.7</v>
      </c>
      <c r="Q138" s="42">
        <f t="shared" si="16"/>
        <v>-55326.39999999991</v>
      </c>
    </row>
    <row r="139" spans="1:17" s="42" customFormat="1" ht="15.75" hidden="1" outlineLevel="1">
      <c r="A139" s="35"/>
      <c r="B139" s="62"/>
      <c r="C139" s="80"/>
      <c r="D139" s="80"/>
      <c r="E139" s="80"/>
      <c r="F139" s="80"/>
      <c r="G139" s="80"/>
      <c r="H139" s="44"/>
      <c r="I139" s="80"/>
      <c r="J139" s="80"/>
      <c r="K139" s="80"/>
      <c r="L139" s="80"/>
      <c r="M139" s="80"/>
      <c r="O139" s="78"/>
      <c r="Q139" s="42">
        <f t="shared" si="16"/>
        <v>0</v>
      </c>
    </row>
    <row r="140" spans="1:17" s="42" customFormat="1" ht="15.75" hidden="1" outlineLevel="1">
      <c r="A140" s="35"/>
      <c r="B140" s="62"/>
      <c r="C140" s="81"/>
      <c r="D140" s="81"/>
      <c r="E140" s="81"/>
      <c r="F140" s="81"/>
      <c r="G140" s="81"/>
      <c r="H140" s="81"/>
      <c r="I140" s="81"/>
      <c r="J140" s="81"/>
      <c r="K140" s="80"/>
      <c r="L140" s="80"/>
      <c r="M140" s="80"/>
      <c r="O140" s="78"/>
      <c r="Q140" s="42">
        <f t="shared" si="16"/>
        <v>0</v>
      </c>
    </row>
    <row r="141" spans="1:17" s="42" customFormat="1" ht="15.75" hidden="1" outlineLevel="1">
      <c r="A141" s="35"/>
      <c r="B141" s="43"/>
      <c r="C141" s="81"/>
      <c r="D141" s="80"/>
      <c r="E141" s="81"/>
      <c r="F141" s="81"/>
      <c r="G141" s="81"/>
      <c r="H141" s="44"/>
      <c r="I141" s="80"/>
      <c r="J141" s="80"/>
      <c r="K141" s="80"/>
      <c r="L141" s="80"/>
      <c r="M141" s="80"/>
      <c r="O141" s="78"/>
      <c r="Q141" s="42">
        <f t="shared" si="16"/>
        <v>0</v>
      </c>
    </row>
    <row r="142" spans="1:17" s="42" customFormat="1" ht="15.75" hidden="1" outlineLevel="1">
      <c r="A142" s="35"/>
      <c r="B142" s="43"/>
      <c r="C142" s="81"/>
      <c r="D142" s="81"/>
      <c r="E142" s="81"/>
      <c r="F142" s="81"/>
      <c r="G142" s="81"/>
      <c r="H142" s="44"/>
      <c r="I142" s="81"/>
      <c r="J142" s="80"/>
      <c r="K142" s="80"/>
      <c r="L142" s="80"/>
      <c r="M142" s="80"/>
      <c r="O142" s="78"/>
      <c r="Q142" s="42">
        <f t="shared" si="16"/>
        <v>0</v>
      </c>
    </row>
    <row r="143" spans="1:17" s="42" customFormat="1" ht="15.75" hidden="1" outlineLevel="1">
      <c r="A143" s="35"/>
      <c r="B143" s="43"/>
      <c r="C143" s="81"/>
      <c r="D143" s="81"/>
      <c r="E143" s="81"/>
      <c r="F143" s="81"/>
      <c r="G143" s="81"/>
      <c r="H143" s="44"/>
      <c r="I143" s="81"/>
      <c r="J143" s="80"/>
      <c r="K143" s="80"/>
      <c r="L143" s="80"/>
      <c r="M143" s="80"/>
      <c r="O143" s="78"/>
      <c r="Q143" s="42">
        <f t="shared" si="16"/>
        <v>0</v>
      </c>
    </row>
    <row r="144" spans="1:17" s="42" customFormat="1" ht="15" hidden="1" outlineLevel="1">
      <c r="A144" s="35"/>
      <c r="B144" s="43" t="e">
        <f>B77Расходы за счет собственных доходов местного бюджета по вопросам местного значения</f>
        <v>#NAME?</v>
      </c>
      <c r="C144" s="44">
        <f>C146+C147</f>
        <v>358012</v>
      </c>
      <c r="D144" s="44">
        <f>D146+D147+D148</f>
        <v>287644.06</v>
      </c>
      <c r="E144" s="44">
        <f>C144+D144</f>
        <v>645656.06</v>
      </c>
      <c r="F144" s="44">
        <f>F146+F147</f>
        <v>0</v>
      </c>
      <c r="G144" s="44">
        <f>G146+G147</f>
        <v>0</v>
      </c>
      <c r="H144" s="44">
        <f>H146+H147</f>
        <v>305209</v>
      </c>
      <c r="I144" s="44">
        <f>I146+I147+I148</f>
        <v>365801.3</v>
      </c>
      <c r="J144" s="44">
        <f>H144+I144</f>
        <v>671010.3</v>
      </c>
      <c r="K144" s="44"/>
      <c r="L144" s="44">
        <f>IF(D144&lt;&gt;0,IF(I144&lt;&gt;0,I144/D144*100,0),0)</f>
        <v>127.1715119025924</v>
      </c>
      <c r="M144" s="44">
        <f>IF(E144&lt;&gt;0,IF(J144&lt;&gt;0,J144/E144*100,0),0)</f>
        <v>103.9268956911827</v>
      </c>
      <c r="O144" s="78">
        <f>H144+I144-J144</f>
        <v>0</v>
      </c>
      <c r="Q144" s="42">
        <f t="shared" si="16"/>
        <v>0</v>
      </c>
    </row>
    <row r="145" spans="1:17" s="42" customFormat="1" ht="15" collapsed="1">
      <c r="A145" s="35"/>
      <c r="B145" s="43" t="s">
        <v>98</v>
      </c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O145" s="78">
        <f>H145+I145-J145</f>
        <v>0</v>
      </c>
      <c r="Q145" s="42">
        <f t="shared" si="16"/>
        <v>0</v>
      </c>
    </row>
    <row r="146" spans="1:17" s="42" customFormat="1" ht="15">
      <c r="A146" s="35">
        <v>501</v>
      </c>
      <c r="B146" s="43" t="s">
        <v>119</v>
      </c>
      <c r="C146" s="44">
        <v>197284</v>
      </c>
      <c r="D146" s="44">
        <f>70180.9+920</f>
        <v>71100.9</v>
      </c>
      <c r="E146" s="44">
        <f>C146+D146</f>
        <v>268384.9</v>
      </c>
      <c r="F146" s="44"/>
      <c r="G146" s="44"/>
      <c r="H146" s="44">
        <f>173865-2363-1746</f>
        <v>169756</v>
      </c>
      <c r="I146" s="44">
        <f>7230+5484+35107+920+516.2-428-7230</f>
        <v>41599.2</v>
      </c>
      <c r="J146" s="44">
        <f>H146+I146</f>
        <v>211355.2</v>
      </c>
      <c r="K146" s="44">
        <f aca="true" t="shared" si="20" ref="K146:M147">IF(C146&lt;&gt;0,IF(H146&lt;&gt;0,H146/C146*100,0),0)</f>
        <v>86.04651162790698</v>
      </c>
      <c r="L146" s="44">
        <f t="shared" si="20"/>
        <v>58.50727627920321</v>
      </c>
      <c r="M146" s="44">
        <f t="shared" si="20"/>
        <v>78.75077919808454</v>
      </c>
      <c r="O146" s="78">
        <f>H146+I146-J146</f>
        <v>0</v>
      </c>
      <c r="Q146" s="42">
        <f t="shared" si="16"/>
        <v>0</v>
      </c>
    </row>
    <row r="147" spans="1:17" s="42" customFormat="1" ht="15">
      <c r="A147" s="35">
        <v>502</v>
      </c>
      <c r="B147" s="43" t="s">
        <v>120</v>
      </c>
      <c r="C147" s="44">
        <v>160728</v>
      </c>
      <c r="D147" s="44">
        <f>241348.4-46912</f>
        <v>194436.4</v>
      </c>
      <c r="E147" s="44">
        <v>241348.4</v>
      </c>
      <c r="F147" s="44"/>
      <c r="G147" s="44"/>
      <c r="H147" s="44">
        <f>187111-4000-26338-2320-19000</f>
        <v>135453</v>
      </c>
      <c r="I147" s="44">
        <f>88800+186170+28456-28800+24600+22312+4726.6-1832-22620.5+55000-23199-191-8460-3500</f>
        <v>321462.1</v>
      </c>
      <c r="J147" s="44">
        <f>H147+I147</f>
        <v>456915.1</v>
      </c>
      <c r="K147" s="44">
        <f t="shared" si="20"/>
        <v>84.2746752277139</v>
      </c>
      <c r="L147" s="44">
        <f t="shared" si="20"/>
        <v>165.33020566107993</v>
      </c>
      <c r="M147" s="44">
        <f t="shared" si="20"/>
        <v>189.31764204776164</v>
      </c>
      <c r="O147" s="78">
        <f>H147+I147-J147</f>
        <v>0</v>
      </c>
      <c r="Q147" s="42">
        <f t="shared" si="16"/>
        <v>0</v>
      </c>
    </row>
    <row r="148" spans="1:17" s="42" customFormat="1" ht="15">
      <c r="A148" s="35">
        <v>504</v>
      </c>
      <c r="B148" s="43" t="s">
        <v>121</v>
      </c>
      <c r="C148" s="44"/>
      <c r="D148" s="44">
        <v>22106.76</v>
      </c>
      <c r="E148" s="44">
        <f>C148+D148</f>
        <v>22106.76</v>
      </c>
      <c r="F148" s="44"/>
      <c r="G148" s="44"/>
      <c r="H148" s="44"/>
      <c r="I148" s="44">
        <f>3170-430+18935-18935</f>
        <v>2740</v>
      </c>
      <c r="J148" s="44">
        <f>H148+I148</f>
        <v>2740</v>
      </c>
      <c r="K148" s="44"/>
      <c r="L148" s="44">
        <f aca="true" t="shared" si="21" ref="L148:M150">IF(D148&lt;&gt;0,IF(I148&lt;&gt;0,I148/D148*100,0),0)</f>
        <v>12.39439881737532</v>
      </c>
      <c r="M148" s="44">
        <f t="shared" si="21"/>
        <v>12.39439881737532</v>
      </c>
      <c r="O148" s="78"/>
      <c r="Q148" s="42">
        <f t="shared" si="16"/>
        <v>0</v>
      </c>
    </row>
    <row r="149" spans="1:17" s="42" customFormat="1" ht="15.75">
      <c r="A149" s="35"/>
      <c r="B149" s="40" t="s">
        <v>122</v>
      </c>
      <c r="C149" s="41">
        <f>C150</f>
        <v>0</v>
      </c>
      <c r="D149" s="41">
        <f>D150</f>
        <v>6366.9</v>
      </c>
      <c r="E149" s="41">
        <f>C149+D149</f>
        <v>6366.9</v>
      </c>
      <c r="F149" s="41">
        <f>F150</f>
        <v>0</v>
      </c>
      <c r="G149" s="41">
        <f>G150</f>
        <v>0</v>
      </c>
      <c r="H149" s="41">
        <f>H150</f>
        <v>0</v>
      </c>
      <c r="I149" s="41">
        <f>I150</f>
        <v>5452</v>
      </c>
      <c r="J149" s="41">
        <f>H149+I149</f>
        <v>5452</v>
      </c>
      <c r="K149" s="41">
        <f>IF(C149&lt;&gt;0,IF(H149&lt;&gt;0,H149/C149*100,0),0)</f>
        <v>0</v>
      </c>
      <c r="L149" s="41">
        <f t="shared" si="21"/>
        <v>85.63036956760747</v>
      </c>
      <c r="M149" s="41">
        <f t="shared" si="21"/>
        <v>85.63036956760747</v>
      </c>
      <c r="N149" s="42">
        <v>5452</v>
      </c>
      <c r="O149" s="78">
        <f aca="true" t="shared" si="22" ref="O149:O168">H149+I149-J149</f>
        <v>0</v>
      </c>
      <c r="P149" s="42">
        <v>7425</v>
      </c>
      <c r="Q149" s="42">
        <f t="shared" si="16"/>
        <v>-1973</v>
      </c>
    </row>
    <row r="150" spans="1:17" s="42" customFormat="1" ht="45" hidden="1" outlineLevel="1">
      <c r="A150" s="35"/>
      <c r="B150" s="43" t="s">
        <v>112</v>
      </c>
      <c r="C150" s="44">
        <f>C152</f>
        <v>0</v>
      </c>
      <c r="D150" s="44">
        <f>D152</f>
        <v>6366.9</v>
      </c>
      <c r="E150" s="44">
        <f>C150+D150</f>
        <v>6366.9</v>
      </c>
      <c r="F150" s="44">
        <f>F152</f>
        <v>0</v>
      </c>
      <c r="G150" s="44">
        <f>G152</f>
        <v>0</v>
      </c>
      <c r="H150" s="44">
        <f>H152</f>
        <v>0</v>
      </c>
      <c r="I150" s="44">
        <f>I152</f>
        <v>5452</v>
      </c>
      <c r="J150" s="44">
        <f>H150+I150</f>
        <v>5452</v>
      </c>
      <c r="K150" s="44">
        <f>IF(C150&lt;&gt;0,IF(H150&lt;&gt;0,H150/C150*100,0),0)</f>
        <v>0</v>
      </c>
      <c r="L150" s="44">
        <f t="shared" si="21"/>
        <v>85.63036956760747</v>
      </c>
      <c r="M150" s="44">
        <f t="shared" si="21"/>
        <v>85.63036956760747</v>
      </c>
      <c r="O150" s="78">
        <f t="shared" si="22"/>
        <v>0</v>
      </c>
      <c r="Q150" s="42">
        <f t="shared" si="16"/>
        <v>0</v>
      </c>
    </row>
    <row r="151" spans="1:17" s="42" customFormat="1" ht="15" collapsed="1">
      <c r="A151" s="35"/>
      <c r="B151" s="43" t="s">
        <v>98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O151" s="78">
        <f t="shared" si="22"/>
        <v>0</v>
      </c>
      <c r="Q151" s="42">
        <f t="shared" si="16"/>
        <v>0</v>
      </c>
    </row>
    <row r="152" spans="1:17" s="42" customFormat="1" ht="30">
      <c r="A152" s="35">
        <v>602</v>
      </c>
      <c r="B152" s="43" t="s">
        <v>123</v>
      </c>
      <c r="C152" s="44"/>
      <c r="D152" s="44">
        <v>6366.9</v>
      </c>
      <c r="E152" s="44">
        <f>C152+D152</f>
        <v>6366.9</v>
      </c>
      <c r="F152" s="44"/>
      <c r="G152" s="44"/>
      <c r="H152" s="44"/>
      <c r="I152" s="44">
        <f>7005+420-1973</f>
        <v>5452</v>
      </c>
      <c r="J152" s="44">
        <f>H152+I152</f>
        <v>5452</v>
      </c>
      <c r="K152" s="44">
        <f aca="true" t="shared" si="23" ref="K152:K160">IF(C152&lt;&gt;0,IF(H152&lt;&gt;0,H152/C152*100,0),0)</f>
        <v>0</v>
      </c>
      <c r="L152" s="44">
        <f aca="true" t="shared" si="24" ref="L152:L160">IF(D152&lt;&gt;0,IF(I152&lt;&gt;0,I152/D152*100,0),0)</f>
        <v>85.63036956760747</v>
      </c>
      <c r="M152" s="44">
        <f aca="true" t="shared" si="25" ref="M152:M160">IF(E152&lt;&gt;0,IF(J152&lt;&gt;0,J152/E152*100,0),0)</f>
        <v>85.63036956760747</v>
      </c>
      <c r="O152" s="78">
        <f t="shared" si="22"/>
        <v>0</v>
      </c>
      <c r="Q152" s="42">
        <f t="shared" si="16"/>
        <v>0</v>
      </c>
    </row>
    <row r="153" spans="1:17" s="42" customFormat="1" ht="15.75">
      <c r="A153" s="35"/>
      <c r="B153" s="40" t="s">
        <v>124</v>
      </c>
      <c r="C153" s="41">
        <f>C155+C160</f>
        <v>249039.3</v>
      </c>
      <c r="D153" s="41">
        <f>D155+D160</f>
        <v>692577.62</v>
      </c>
      <c r="E153" s="41">
        <f>C153+D153</f>
        <v>941616.9199999999</v>
      </c>
      <c r="F153" s="41">
        <f>F155+F160</f>
        <v>24188.4</v>
      </c>
      <c r="G153" s="41">
        <f>G155+G160</f>
        <v>24188.4</v>
      </c>
      <c r="H153" s="41">
        <f>H155+H160</f>
        <v>265886</v>
      </c>
      <c r="I153" s="41">
        <f>I155+I160</f>
        <v>743297.2</v>
      </c>
      <c r="J153" s="41">
        <f>H153+I153</f>
        <v>1009183.2</v>
      </c>
      <c r="K153" s="41">
        <f t="shared" si="23"/>
        <v>106.76467529422065</v>
      </c>
      <c r="L153" s="41">
        <f t="shared" si="24"/>
        <v>107.3233062310041</v>
      </c>
      <c r="M153" s="41">
        <f t="shared" si="25"/>
        <v>107.17555924972122</v>
      </c>
      <c r="N153" s="42">
        <v>1011043.2</v>
      </c>
      <c r="O153" s="78">
        <f t="shared" si="22"/>
        <v>0</v>
      </c>
      <c r="P153" s="42">
        <v>1015955.2</v>
      </c>
      <c r="Q153" s="42">
        <f t="shared" si="16"/>
        <v>-4912</v>
      </c>
    </row>
    <row r="154" spans="1:17" s="42" customFormat="1" ht="15.75" hidden="1" outlineLevel="1">
      <c r="A154" s="35"/>
      <c r="B154" s="40" t="s">
        <v>37</v>
      </c>
      <c r="C154" s="41"/>
      <c r="D154" s="41"/>
      <c r="E154" s="41">
        <f>C154+D154</f>
        <v>0</v>
      </c>
      <c r="F154" s="41"/>
      <c r="G154" s="41"/>
      <c r="H154" s="44"/>
      <c r="I154" s="41"/>
      <c r="J154" s="41">
        <f>H154+I154</f>
        <v>0</v>
      </c>
      <c r="K154" s="41">
        <f t="shared" si="23"/>
        <v>0</v>
      </c>
      <c r="L154" s="41">
        <f t="shared" si="24"/>
        <v>0</v>
      </c>
      <c r="M154" s="41">
        <f t="shared" si="25"/>
        <v>0</v>
      </c>
      <c r="O154" s="78">
        <f t="shared" si="22"/>
        <v>0</v>
      </c>
      <c r="Q154" s="42">
        <f t="shared" si="16"/>
        <v>0</v>
      </c>
    </row>
    <row r="155" spans="1:17" s="42" customFormat="1" ht="30" hidden="1" outlineLevel="1">
      <c r="A155" s="35"/>
      <c r="B155" s="62" t="s">
        <v>95</v>
      </c>
      <c r="C155" s="44"/>
      <c r="D155" s="44"/>
      <c r="E155" s="44"/>
      <c r="F155" s="44">
        <f>F157+F158+F159</f>
        <v>24188.4</v>
      </c>
      <c r="G155" s="44">
        <f>G157+G158+G159</f>
        <v>24188.4</v>
      </c>
      <c r="H155" s="44"/>
      <c r="I155" s="44"/>
      <c r="J155" s="44"/>
      <c r="K155" s="41">
        <f t="shared" si="23"/>
        <v>0</v>
      </c>
      <c r="L155" s="41">
        <f t="shared" si="24"/>
        <v>0</v>
      </c>
      <c r="M155" s="41">
        <f t="shared" si="25"/>
        <v>0</v>
      </c>
      <c r="O155" s="78">
        <f t="shared" si="22"/>
        <v>0</v>
      </c>
      <c r="Q155" s="42">
        <f t="shared" si="16"/>
        <v>0</v>
      </c>
    </row>
    <row r="156" spans="1:17" s="42" customFormat="1" ht="15.75" hidden="1" outlineLevel="1">
      <c r="A156" s="35"/>
      <c r="B156" s="43" t="s">
        <v>98</v>
      </c>
      <c r="C156" s="41"/>
      <c r="D156" s="41"/>
      <c r="E156" s="41"/>
      <c r="F156" s="41"/>
      <c r="G156" s="41"/>
      <c r="H156" s="44"/>
      <c r="I156" s="41"/>
      <c r="J156" s="41"/>
      <c r="K156" s="41">
        <f t="shared" si="23"/>
        <v>0</v>
      </c>
      <c r="L156" s="41">
        <f t="shared" si="24"/>
        <v>0</v>
      </c>
      <c r="M156" s="41">
        <f t="shared" si="25"/>
        <v>0</v>
      </c>
      <c r="O156" s="78">
        <f t="shared" si="22"/>
        <v>0</v>
      </c>
      <c r="Q156" s="42">
        <f t="shared" si="16"/>
        <v>0</v>
      </c>
    </row>
    <row r="157" spans="1:17" s="42" customFormat="1" ht="15.75" hidden="1" outlineLevel="1">
      <c r="A157" s="35">
        <v>701</v>
      </c>
      <c r="B157" s="43" t="s">
        <v>125</v>
      </c>
      <c r="C157" s="44"/>
      <c r="D157" s="44"/>
      <c r="E157" s="44"/>
      <c r="F157" s="44"/>
      <c r="G157" s="44"/>
      <c r="H157" s="44"/>
      <c r="I157" s="44"/>
      <c r="J157" s="44"/>
      <c r="K157" s="41">
        <f t="shared" si="23"/>
        <v>0</v>
      </c>
      <c r="L157" s="41">
        <f t="shared" si="24"/>
        <v>0</v>
      </c>
      <c r="M157" s="41">
        <f t="shared" si="25"/>
        <v>0</v>
      </c>
      <c r="O157" s="78">
        <f t="shared" si="22"/>
        <v>0</v>
      </c>
      <c r="Q157" s="42">
        <f t="shared" si="16"/>
        <v>0</v>
      </c>
    </row>
    <row r="158" spans="1:17" s="42" customFormat="1" ht="15.75" hidden="1" outlineLevel="1">
      <c r="A158" s="35">
        <v>702</v>
      </c>
      <c r="B158" s="43" t="s">
        <v>126</v>
      </c>
      <c r="C158" s="44"/>
      <c r="D158" s="44"/>
      <c r="E158" s="44"/>
      <c r="F158" s="44">
        <f>39.9+6780+9376+1000+2415.9+3207.6+1369</f>
        <v>24188.4</v>
      </c>
      <c r="G158" s="44">
        <f>39.9+6780+9376+1000+2415.9+3207.6+1369</f>
        <v>24188.4</v>
      </c>
      <c r="H158" s="44"/>
      <c r="I158" s="44"/>
      <c r="J158" s="44"/>
      <c r="K158" s="41">
        <f t="shared" si="23"/>
        <v>0</v>
      </c>
      <c r="L158" s="41">
        <f t="shared" si="24"/>
        <v>0</v>
      </c>
      <c r="M158" s="41">
        <f t="shared" si="25"/>
        <v>0</v>
      </c>
      <c r="O158" s="78">
        <f t="shared" si="22"/>
        <v>0</v>
      </c>
      <c r="Q158" s="42">
        <f t="shared" si="16"/>
        <v>0</v>
      </c>
    </row>
    <row r="159" spans="1:17" s="42" customFormat="1" ht="30" hidden="1" outlineLevel="1">
      <c r="A159" s="35">
        <v>709</v>
      </c>
      <c r="B159" s="43" t="s">
        <v>127</v>
      </c>
      <c r="C159" s="44"/>
      <c r="D159" s="44"/>
      <c r="E159" s="44"/>
      <c r="F159" s="44"/>
      <c r="G159" s="44"/>
      <c r="H159" s="44"/>
      <c r="I159" s="44"/>
      <c r="J159" s="44"/>
      <c r="K159" s="41">
        <f t="shared" si="23"/>
        <v>0</v>
      </c>
      <c r="L159" s="41">
        <f t="shared" si="24"/>
        <v>0</v>
      </c>
      <c r="M159" s="41">
        <f t="shared" si="25"/>
        <v>0</v>
      </c>
      <c r="O159" s="78">
        <f t="shared" si="22"/>
        <v>0</v>
      </c>
      <c r="Q159" s="42">
        <f t="shared" si="16"/>
        <v>0</v>
      </c>
    </row>
    <row r="160" spans="1:17" s="42" customFormat="1" ht="45" hidden="1" outlineLevel="1" collapsed="1">
      <c r="A160" s="35"/>
      <c r="B160" s="43" t="s">
        <v>128</v>
      </c>
      <c r="C160" s="44">
        <f>SUM(C162:C166)</f>
        <v>249039.3</v>
      </c>
      <c r="D160" s="44">
        <f>SUM(D162:D166)</f>
        <v>692577.62</v>
      </c>
      <c r="E160" s="44">
        <f>C160+D160</f>
        <v>941616.9199999999</v>
      </c>
      <c r="F160" s="44">
        <f>SUM(F162:F166)</f>
        <v>0</v>
      </c>
      <c r="G160" s="44">
        <f>SUM(G162:G166)</f>
        <v>0</v>
      </c>
      <c r="H160" s="44">
        <f>SUM(H162:H166)</f>
        <v>265886</v>
      </c>
      <c r="I160" s="44">
        <f>SUM(I162:I166)</f>
        <v>743297.2</v>
      </c>
      <c r="J160" s="44">
        <f>H160+I160</f>
        <v>1009183.2</v>
      </c>
      <c r="K160" s="44">
        <f t="shared" si="23"/>
        <v>106.76467529422065</v>
      </c>
      <c r="L160" s="44">
        <f t="shared" si="24"/>
        <v>107.3233062310041</v>
      </c>
      <c r="M160" s="44">
        <f t="shared" si="25"/>
        <v>107.17555924972122</v>
      </c>
      <c r="O160" s="78">
        <f t="shared" si="22"/>
        <v>0</v>
      </c>
      <c r="Q160" s="42">
        <f t="shared" si="16"/>
        <v>0</v>
      </c>
    </row>
    <row r="161" spans="1:17" s="42" customFormat="1" ht="15" collapsed="1">
      <c r="A161" s="35"/>
      <c r="B161" s="43" t="s">
        <v>98</v>
      </c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O161" s="78">
        <f t="shared" si="22"/>
        <v>0</v>
      </c>
      <c r="Q161" s="42">
        <f aca="true" t="shared" si="26" ref="Q161:Q177">N161-P161</f>
        <v>0</v>
      </c>
    </row>
    <row r="162" spans="1:17" s="42" customFormat="1" ht="15">
      <c r="A162" s="35">
        <v>701</v>
      </c>
      <c r="B162" s="43" t="s">
        <v>125</v>
      </c>
      <c r="C162" s="44">
        <f>11432.5+6669.4</f>
        <v>18101.9</v>
      </c>
      <c r="D162" s="44">
        <v>309074.41</v>
      </c>
      <c r="E162" s="44">
        <f aca="true" t="shared" si="27" ref="E162:E168">C162+D162</f>
        <v>327176.31</v>
      </c>
      <c r="F162" s="44"/>
      <c r="G162" s="44"/>
      <c r="H162" s="44">
        <f>14129+9857-1000</f>
        <v>22986</v>
      </c>
      <c r="I162" s="44">
        <f>332406.2+7108</f>
        <v>339514.2</v>
      </c>
      <c r="J162" s="44">
        <f aca="true" t="shared" si="28" ref="J162:J168">H162+I162</f>
        <v>362500.2</v>
      </c>
      <c r="K162" s="44">
        <f aca="true" t="shared" si="29" ref="K162:M168">IF(C162&lt;&gt;0,IF(H162&lt;&gt;0,H162/C162*100,0),0)</f>
        <v>126.9811456255973</v>
      </c>
      <c r="L162" s="44">
        <f t="shared" si="29"/>
        <v>109.84869307038394</v>
      </c>
      <c r="M162" s="44">
        <f t="shared" si="29"/>
        <v>110.79659159919007</v>
      </c>
      <c r="O162" s="78">
        <f t="shared" si="22"/>
        <v>0</v>
      </c>
      <c r="Q162" s="42">
        <f t="shared" si="26"/>
        <v>0</v>
      </c>
    </row>
    <row r="163" spans="1:17" s="42" customFormat="1" ht="15">
      <c r="A163" s="35">
        <v>702</v>
      </c>
      <c r="B163" s="43" t="s">
        <v>126</v>
      </c>
      <c r="C163" s="44">
        <v>230836.9</v>
      </c>
      <c r="D163" s="44">
        <f>288675.91-19.5</f>
        <v>288656.41</v>
      </c>
      <c r="E163" s="44">
        <f t="shared" si="27"/>
        <v>519493.30999999994</v>
      </c>
      <c r="F163" s="44"/>
      <c r="G163" s="44"/>
      <c r="H163" s="44">
        <f>27628.5+224863+7945+2363-9000-11000</f>
        <v>242799.5</v>
      </c>
      <c r="I163" s="44">
        <f>281870+12802.3+834.5+14177+2363+1000-80</f>
        <v>312966.8</v>
      </c>
      <c r="J163" s="44">
        <f t="shared" si="28"/>
        <v>555766.3</v>
      </c>
      <c r="K163" s="44">
        <f t="shared" si="29"/>
        <v>105.18227371793678</v>
      </c>
      <c r="L163" s="44">
        <f t="shared" si="29"/>
        <v>108.4219124044396</v>
      </c>
      <c r="M163" s="44">
        <f t="shared" si="29"/>
        <v>106.98237865661832</v>
      </c>
      <c r="O163" s="78">
        <f t="shared" si="22"/>
        <v>0</v>
      </c>
      <c r="Q163" s="42">
        <f t="shared" si="26"/>
        <v>0</v>
      </c>
    </row>
    <row r="164" spans="1:17" s="42" customFormat="1" ht="30">
      <c r="A164" s="35">
        <v>704</v>
      </c>
      <c r="B164" s="43" t="s">
        <v>129</v>
      </c>
      <c r="C164" s="44"/>
      <c r="D164" s="44">
        <v>1613.2</v>
      </c>
      <c r="E164" s="44">
        <f t="shared" si="27"/>
        <v>1613.2</v>
      </c>
      <c r="F164" s="44"/>
      <c r="G164" s="44"/>
      <c r="H164" s="44"/>
      <c r="I164" s="44"/>
      <c r="J164" s="44">
        <f t="shared" si="28"/>
        <v>0</v>
      </c>
      <c r="K164" s="44">
        <f t="shared" si="29"/>
        <v>0</v>
      </c>
      <c r="L164" s="44">
        <f t="shared" si="29"/>
        <v>0</v>
      </c>
      <c r="M164" s="44">
        <f t="shared" si="29"/>
        <v>0</v>
      </c>
      <c r="O164" s="78">
        <f t="shared" si="22"/>
        <v>0</v>
      </c>
      <c r="Q164" s="42">
        <f t="shared" si="26"/>
        <v>0</v>
      </c>
    </row>
    <row r="165" spans="1:17" s="42" customFormat="1" ht="30">
      <c r="A165" s="35">
        <v>707</v>
      </c>
      <c r="B165" s="43" t="s">
        <v>130</v>
      </c>
      <c r="C165" s="44"/>
      <c r="D165" s="44">
        <v>29111.3</v>
      </c>
      <c r="E165" s="44">
        <f t="shared" si="27"/>
        <v>29111.3</v>
      </c>
      <c r="F165" s="44"/>
      <c r="G165" s="44"/>
      <c r="H165" s="44"/>
      <c r="I165" s="44">
        <f>31372-3900</f>
        <v>27472</v>
      </c>
      <c r="J165" s="44">
        <f t="shared" si="28"/>
        <v>27472</v>
      </c>
      <c r="K165" s="44">
        <f t="shared" si="29"/>
        <v>0</v>
      </c>
      <c r="L165" s="44">
        <f t="shared" si="29"/>
        <v>94.3688533318677</v>
      </c>
      <c r="M165" s="44">
        <f t="shared" si="29"/>
        <v>94.3688533318677</v>
      </c>
      <c r="O165" s="78">
        <f t="shared" si="22"/>
        <v>0</v>
      </c>
      <c r="Q165" s="42">
        <f t="shared" si="26"/>
        <v>0</v>
      </c>
    </row>
    <row r="166" spans="1:17" s="42" customFormat="1" ht="30">
      <c r="A166" s="35">
        <v>709</v>
      </c>
      <c r="B166" s="43" t="s">
        <v>127</v>
      </c>
      <c r="C166" s="44">
        <v>100.5</v>
      </c>
      <c r="D166" s="44">
        <v>64122.3</v>
      </c>
      <c r="E166" s="44">
        <f t="shared" si="27"/>
        <v>64222.8</v>
      </c>
      <c r="F166" s="44"/>
      <c r="G166" s="44"/>
      <c r="H166" s="44">
        <f>100.5+2780-2780</f>
        <v>100.5</v>
      </c>
      <c r="I166" s="44">
        <f>59576+3668+100.2</f>
        <v>63344.2</v>
      </c>
      <c r="J166" s="44">
        <f t="shared" si="28"/>
        <v>63444.7</v>
      </c>
      <c r="K166" s="44">
        <f t="shared" si="29"/>
        <v>100</v>
      </c>
      <c r="L166" s="44">
        <f t="shared" si="29"/>
        <v>98.78653760080346</v>
      </c>
      <c r="M166" s="44">
        <f t="shared" si="29"/>
        <v>98.78843650541552</v>
      </c>
      <c r="O166" s="78">
        <f t="shared" si="22"/>
        <v>0</v>
      </c>
      <c r="Q166" s="42">
        <f t="shared" si="26"/>
        <v>0</v>
      </c>
    </row>
    <row r="167" spans="1:17" s="42" customFormat="1" ht="31.5">
      <c r="A167" s="35"/>
      <c r="B167" s="40" t="s">
        <v>131</v>
      </c>
      <c r="C167" s="41">
        <f>C169+C172</f>
        <v>1253</v>
      </c>
      <c r="D167" s="41">
        <f>D169+D172</f>
        <v>108974.87000000001</v>
      </c>
      <c r="E167" s="41">
        <f t="shared" si="27"/>
        <v>110227.87000000001</v>
      </c>
      <c r="F167" s="41">
        <f>F169+F172</f>
        <v>0</v>
      </c>
      <c r="G167" s="41">
        <f>G169+G172</f>
        <v>0</v>
      </c>
      <c r="H167" s="41">
        <f>H169+H172</f>
        <v>3000</v>
      </c>
      <c r="I167" s="41">
        <f>I169+I172</f>
        <v>115666</v>
      </c>
      <c r="J167" s="41">
        <f t="shared" si="28"/>
        <v>118666</v>
      </c>
      <c r="K167" s="41">
        <f t="shared" si="29"/>
        <v>239.42537909018355</v>
      </c>
      <c r="L167" s="41">
        <f t="shared" si="29"/>
        <v>106.14006697140358</v>
      </c>
      <c r="M167" s="41">
        <f t="shared" si="29"/>
        <v>107.65516924168088</v>
      </c>
      <c r="N167" s="42">
        <v>120582</v>
      </c>
      <c r="O167" s="78">
        <f t="shared" si="22"/>
        <v>0</v>
      </c>
      <c r="P167" s="42">
        <v>117604</v>
      </c>
      <c r="Q167" s="42">
        <f t="shared" si="26"/>
        <v>2978</v>
      </c>
    </row>
    <row r="168" spans="1:17" s="42" customFormat="1" ht="15.75" hidden="1" outlineLevel="1">
      <c r="A168" s="35"/>
      <c r="B168" s="62" t="s">
        <v>37</v>
      </c>
      <c r="C168" s="41"/>
      <c r="D168" s="41"/>
      <c r="E168" s="41">
        <f t="shared" si="27"/>
        <v>0</v>
      </c>
      <c r="F168" s="41"/>
      <c r="G168" s="41"/>
      <c r="H168" s="44"/>
      <c r="I168" s="41"/>
      <c r="J168" s="41">
        <f t="shared" si="28"/>
        <v>0</v>
      </c>
      <c r="K168" s="41">
        <f t="shared" si="29"/>
        <v>0</v>
      </c>
      <c r="L168" s="41">
        <f t="shared" si="29"/>
        <v>0</v>
      </c>
      <c r="M168" s="41">
        <f t="shared" si="29"/>
        <v>0</v>
      </c>
      <c r="O168" s="78">
        <f t="shared" si="22"/>
        <v>0</v>
      </c>
      <c r="Q168" s="42">
        <f t="shared" si="26"/>
        <v>0</v>
      </c>
    </row>
    <row r="169" spans="1:17" s="42" customFormat="1" ht="15.75" hidden="1" outlineLevel="1">
      <c r="A169" s="35"/>
      <c r="B169" s="62"/>
      <c r="C169" s="41"/>
      <c r="D169" s="41"/>
      <c r="E169" s="41"/>
      <c r="F169" s="41"/>
      <c r="G169" s="41"/>
      <c r="H169" s="44"/>
      <c r="I169" s="41"/>
      <c r="J169" s="41"/>
      <c r="K169" s="41"/>
      <c r="L169" s="41"/>
      <c r="M169" s="41"/>
      <c r="O169" s="78"/>
      <c r="Q169" s="42">
        <f t="shared" si="26"/>
        <v>0</v>
      </c>
    </row>
    <row r="170" spans="1:17" s="42" customFormat="1" ht="15.75" hidden="1" outlineLevel="1">
      <c r="A170" s="35"/>
      <c r="B170" s="43"/>
      <c r="C170" s="41"/>
      <c r="D170" s="41"/>
      <c r="E170" s="41"/>
      <c r="F170" s="41"/>
      <c r="G170" s="41"/>
      <c r="H170" s="44"/>
      <c r="I170" s="41"/>
      <c r="J170" s="41"/>
      <c r="K170" s="41"/>
      <c r="L170" s="41"/>
      <c r="M170" s="41"/>
      <c r="O170" s="78"/>
      <c r="Q170" s="42">
        <f t="shared" si="26"/>
        <v>0</v>
      </c>
    </row>
    <row r="171" spans="1:17" s="42" customFormat="1" ht="15.75" hidden="1" outlineLevel="1">
      <c r="A171" s="35"/>
      <c r="B171" s="43"/>
      <c r="C171" s="41"/>
      <c r="D171" s="44"/>
      <c r="E171" s="44"/>
      <c r="F171" s="44"/>
      <c r="G171" s="44"/>
      <c r="H171" s="44"/>
      <c r="I171" s="41"/>
      <c r="J171" s="41"/>
      <c r="K171" s="41"/>
      <c r="L171" s="41"/>
      <c r="M171" s="41"/>
      <c r="O171" s="78"/>
      <c r="Q171" s="42">
        <f t="shared" si="26"/>
        <v>0</v>
      </c>
    </row>
    <row r="172" spans="1:17" s="42" customFormat="1" ht="45" hidden="1" outlineLevel="1" collapsed="1">
      <c r="A172" s="35"/>
      <c r="B172" s="43" t="s">
        <v>97</v>
      </c>
      <c r="C172" s="44">
        <f>SUM(C174:C176)</f>
        <v>1253</v>
      </c>
      <c r="D172" s="44">
        <f>SUM(D174:D176)</f>
        <v>108974.87000000001</v>
      </c>
      <c r="E172" s="44">
        <f aca="true" t="shared" si="30" ref="E172:E178">C172+D172</f>
        <v>110227.87000000001</v>
      </c>
      <c r="F172" s="44">
        <f>SUM(F174:F176)</f>
        <v>0</v>
      </c>
      <c r="G172" s="44">
        <f>SUM(G174:G176)</f>
        <v>0</v>
      </c>
      <c r="H172" s="44">
        <f>SUM(H174:H176)</f>
        <v>3000</v>
      </c>
      <c r="I172" s="44">
        <f>SUM(I174:I176)</f>
        <v>115666</v>
      </c>
      <c r="J172" s="44">
        <f aca="true" t="shared" si="31" ref="J172:J178">H172+I172</f>
        <v>118666</v>
      </c>
      <c r="K172" s="44">
        <f aca="true" t="shared" si="32" ref="K172:M178">IF(C172&lt;&gt;0,IF(H172&lt;&gt;0,H172/C172*100,0),0)</f>
        <v>239.42537909018355</v>
      </c>
      <c r="L172" s="44">
        <f t="shared" si="32"/>
        <v>106.14006697140358</v>
      </c>
      <c r="M172" s="44">
        <f t="shared" si="32"/>
        <v>107.65516924168088</v>
      </c>
      <c r="O172" s="78">
        <f aca="true" t="shared" si="33" ref="O172:O180">H172+I172-J172</f>
        <v>0</v>
      </c>
      <c r="Q172" s="42">
        <f t="shared" si="26"/>
        <v>0</v>
      </c>
    </row>
    <row r="173" spans="1:17" s="42" customFormat="1" ht="15" collapsed="1">
      <c r="A173" s="35"/>
      <c r="B173" s="43" t="s">
        <v>98</v>
      </c>
      <c r="C173" s="44"/>
      <c r="D173" s="44"/>
      <c r="E173" s="44">
        <f t="shared" si="30"/>
        <v>0</v>
      </c>
      <c r="F173" s="44"/>
      <c r="G173" s="44"/>
      <c r="H173" s="44"/>
      <c r="I173" s="44"/>
      <c r="J173" s="44">
        <f t="shared" si="31"/>
        <v>0</v>
      </c>
      <c r="K173" s="44">
        <f t="shared" si="32"/>
        <v>0</v>
      </c>
      <c r="L173" s="44">
        <f t="shared" si="32"/>
        <v>0</v>
      </c>
      <c r="M173" s="44">
        <f t="shared" si="32"/>
        <v>0</v>
      </c>
      <c r="O173" s="78">
        <f t="shared" si="33"/>
        <v>0</v>
      </c>
      <c r="Q173" s="42">
        <f t="shared" si="26"/>
        <v>0</v>
      </c>
    </row>
    <row r="174" spans="1:17" s="42" customFormat="1" ht="15">
      <c r="A174" s="35">
        <v>801</v>
      </c>
      <c r="B174" s="43" t="s">
        <v>132</v>
      </c>
      <c r="C174" s="44">
        <v>1253</v>
      </c>
      <c r="D174" s="44">
        <v>94157.07</v>
      </c>
      <c r="E174" s="44">
        <f t="shared" si="30"/>
        <v>95410.07</v>
      </c>
      <c r="F174" s="44"/>
      <c r="G174" s="44"/>
      <c r="H174" s="44">
        <f>4916-1916</f>
        <v>3000</v>
      </c>
      <c r="I174" s="44">
        <f>99313+2978</f>
        <v>102291</v>
      </c>
      <c r="J174" s="44">
        <f t="shared" si="31"/>
        <v>105291</v>
      </c>
      <c r="K174" s="44">
        <f t="shared" si="32"/>
        <v>239.42537909018355</v>
      </c>
      <c r="L174" s="44">
        <f t="shared" si="32"/>
        <v>108.63868215100577</v>
      </c>
      <c r="M174" s="44">
        <f t="shared" si="32"/>
        <v>110.35627581029968</v>
      </c>
      <c r="O174" s="78">
        <f t="shared" si="33"/>
        <v>0</v>
      </c>
      <c r="Q174" s="42">
        <f t="shared" si="26"/>
        <v>0</v>
      </c>
    </row>
    <row r="175" spans="1:17" s="42" customFormat="1" ht="15">
      <c r="A175" s="35">
        <v>803</v>
      </c>
      <c r="B175" s="43" t="s">
        <v>133</v>
      </c>
      <c r="C175" s="44"/>
      <c r="D175" s="44">
        <v>5030</v>
      </c>
      <c r="E175" s="44">
        <f t="shared" si="30"/>
        <v>5030</v>
      </c>
      <c r="F175" s="44"/>
      <c r="G175" s="44"/>
      <c r="H175" s="44"/>
      <c r="I175" s="44">
        <v>5442</v>
      </c>
      <c r="J175" s="44">
        <f t="shared" si="31"/>
        <v>5442</v>
      </c>
      <c r="K175" s="44">
        <f t="shared" si="32"/>
        <v>0</v>
      </c>
      <c r="L175" s="44">
        <f t="shared" si="32"/>
        <v>108.19085487077535</v>
      </c>
      <c r="M175" s="44">
        <f t="shared" si="32"/>
        <v>108.19085487077535</v>
      </c>
      <c r="O175" s="78">
        <f t="shared" si="33"/>
        <v>0</v>
      </c>
      <c r="Q175" s="42">
        <f t="shared" si="26"/>
        <v>0</v>
      </c>
    </row>
    <row r="176" spans="1:17" s="42" customFormat="1" ht="30">
      <c r="A176" s="35">
        <v>804</v>
      </c>
      <c r="B176" s="43" t="s">
        <v>134</v>
      </c>
      <c r="C176" s="44"/>
      <c r="D176" s="44">
        <v>9787.8</v>
      </c>
      <c r="E176" s="44">
        <f t="shared" si="30"/>
        <v>9787.8</v>
      </c>
      <c r="F176" s="44"/>
      <c r="G176" s="44"/>
      <c r="H176" s="44"/>
      <c r="I176" s="44">
        <v>7933</v>
      </c>
      <c r="J176" s="44">
        <f t="shared" si="31"/>
        <v>7933</v>
      </c>
      <c r="K176" s="44">
        <f t="shared" si="32"/>
        <v>0</v>
      </c>
      <c r="L176" s="44">
        <f t="shared" si="32"/>
        <v>81.04987842007397</v>
      </c>
      <c r="M176" s="44">
        <f t="shared" si="32"/>
        <v>81.04987842007397</v>
      </c>
      <c r="O176" s="78">
        <f t="shared" si="33"/>
        <v>0</v>
      </c>
      <c r="Q176" s="42">
        <f t="shared" si="26"/>
        <v>0</v>
      </c>
    </row>
    <row r="177" spans="1:17" s="42" customFormat="1" ht="15.75">
      <c r="A177" s="35"/>
      <c r="B177" s="40" t="s">
        <v>135</v>
      </c>
      <c r="C177" s="41">
        <f>C179+C183</f>
        <v>54731</v>
      </c>
      <c r="D177" s="41">
        <f>D179+D183</f>
        <v>87872.4</v>
      </c>
      <c r="E177" s="41">
        <f t="shared" si="30"/>
        <v>142603.4</v>
      </c>
      <c r="F177" s="41">
        <f>F179+F183</f>
        <v>0</v>
      </c>
      <c r="G177" s="41">
        <f>G179+G183</f>
        <v>0</v>
      </c>
      <c r="H177" s="41">
        <f>H179+H183</f>
        <v>33156</v>
      </c>
      <c r="I177" s="41">
        <f>I179+I183</f>
        <v>37233.9</v>
      </c>
      <c r="J177" s="41">
        <f t="shared" si="31"/>
        <v>70389.9</v>
      </c>
      <c r="K177" s="41">
        <f t="shared" si="32"/>
        <v>60.579927280700154</v>
      </c>
      <c r="L177" s="41">
        <f t="shared" si="32"/>
        <v>42.37269040108158</v>
      </c>
      <c r="M177" s="41">
        <f t="shared" si="32"/>
        <v>49.36060430536719</v>
      </c>
      <c r="N177" s="42">
        <v>70389.9</v>
      </c>
      <c r="O177" s="78">
        <f t="shared" si="33"/>
        <v>0</v>
      </c>
      <c r="P177" s="42">
        <v>79540.9</v>
      </c>
      <c r="Q177" s="42">
        <f t="shared" si="26"/>
        <v>-9151</v>
      </c>
    </row>
    <row r="178" spans="1:15" s="42" customFormat="1" ht="15.75" hidden="1" outlineLevel="1">
      <c r="A178" s="35"/>
      <c r="B178" s="62" t="s">
        <v>37</v>
      </c>
      <c r="C178" s="41"/>
      <c r="D178" s="41"/>
      <c r="E178" s="41">
        <f t="shared" si="30"/>
        <v>0</v>
      </c>
      <c r="F178" s="41"/>
      <c r="G178" s="41"/>
      <c r="H178" s="44"/>
      <c r="I178" s="41"/>
      <c r="J178" s="41">
        <f t="shared" si="31"/>
        <v>0</v>
      </c>
      <c r="K178" s="41">
        <f t="shared" si="32"/>
        <v>0</v>
      </c>
      <c r="L178" s="41">
        <f t="shared" si="32"/>
        <v>0</v>
      </c>
      <c r="M178" s="41">
        <f t="shared" si="32"/>
        <v>0</v>
      </c>
      <c r="O178" s="78">
        <f t="shared" si="33"/>
        <v>0</v>
      </c>
    </row>
    <row r="179" spans="1:15" s="42" customFormat="1" ht="15.75" hidden="1" outlineLevel="1">
      <c r="A179" s="35"/>
      <c r="B179" s="62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O179" s="78">
        <f t="shared" si="33"/>
        <v>0</v>
      </c>
    </row>
    <row r="180" spans="1:15" s="42" customFormat="1" ht="15.75" hidden="1" outlineLevel="1">
      <c r="A180" s="35"/>
      <c r="B180" s="43"/>
      <c r="C180" s="41"/>
      <c r="D180" s="41"/>
      <c r="E180" s="41"/>
      <c r="F180" s="41"/>
      <c r="G180" s="41"/>
      <c r="H180" s="44"/>
      <c r="I180" s="41"/>
      <c r="J180" s="41"/>
      <c r="K180" s="41"/>
      <c r="L180" s="41"/>
      <c r="M180" s="41"/>
      <c r="O180" s="78">
        <f t="shared" si="33"/>
        <v>0</v>
      </c>
    </row>
    <row r="181" spans="1:15" s="42" customFormat="1" ht="15.75" hidden="1" outlineLevel="1">
      <c r="A181" s="35"/>
      <c r="B181" s="43"/>
      <c r="C181" s="41"/>
      <c r="D181" s="41"/>
      <c r="E181" s="41"/>
      <c r="F181" s="41"/>
      <c r="G181" s="41"/>
      <c r="H181" s="44"/>
      <c r="I181" s="41"/>
      <c r="J181" s="41"/>
      <c r="K181" s="41"/>
      <c r="L181" s="41"/>
      <c r="M181" s="41"/>
      <c r="O181" s="78"/>
    </row>
    <row r="182" spans="1:15" s="42" customFormat="1" ht="15.75" hidden="1" outlineLevel="1">
      <c r="A182" s="35"/>
      <c r="B182" s="43"/>
      <c r="C182" s="41"/>
      <c r="D182" s="41"/>
      <c r="E182" s="41"/>
      <c r="F182" s="41"/>
      <c r="G182" s="41"/>
      <c r="H182" s="44"/>
      <c r="I182" s="41"/>
      <c r="J182" s="41"/>
      <c r="K182" s="41"/>
      <c r="L182" s="41"/>
      <c r="M182" s="41"/>
      <c r="O182" s="78">
        <f aca="true" t="shared" si="34" ref="O182:O206">H182+I182-J182</f>
        <v>0</v>
      </c>
    </row>
    <row r="183" spans="1:15" s="42" customFormat="1" ht="45" hidden="1" outlineLevel="1" collapsed="1">
      <c r="A183" s="35"/>
      <c r="B183" s="43" t="s">
        <v>97</v>
      </c>
      <c r="C183" s="44">
        <f>SUM(C185:C187)</f>
        <v>54731</v>
      </c>
      <c r="D183" s="44">
        <f>SUM(D185:D187)</f>
        <v>87872.4</v>
      </c>
      <c r="E183" s="44">
        <f>C183+D183</f>
        <v>142603.4</v>
      </c>
      <c r="F183" s="44">
        <f>SUM(F185:F187)</f>
        <v>0</v>
      </c>
      <c r="G183" s="44">
        <f>SUM(G185:G187)</f>
        <v>0</v>
      </c>
      <c r="H183" s="44">
        <f>SUM(H185:H187)</f>
        <v>33156</v>
      </c>
      <c r="I183" s="44">
        <f>SUM(I185:I187)</f>
        <v>37233.9</v>
      </c>
      <c r="J183" s="44">
        <f>H183+I183</f>
        <v>70389.9</v>
      </c>
      <c r="K183" s="44">
        <f>IF(C183&lt;&gt;0,IF(H183&lt;&gt;0,H183/C183*100,0),0)</f>
        <v>60.579927280700154</v>
      </c>
      <c r="L183" s="44">
        <f>IF(D183&lt;&gt;0,IF(I183&lt;&gt;0,I183/D183*100,0),0)</f>
        <v>42.37269040108158</v>
      </c>
      <c r="M183" s="44">
        <f>IF(E183&lt;&gt;0,IF(J183&lt;&gt;0,J183/E183*100,0),0)</f>
        <v>49.36060430536719</v>
      </c>
      <c r="O183" s="78">
        <f t="shared" si="34"/>
        <v>0</v>
      </c>
    </row>
    <row r="184" spans="1:15" s="42" customFormat="1" ht="15" collapsed="1">
      <c r="A184" s="35"/>
      <c r="B184" s="43" t="s">
        <v>98</v>
      </c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O184" s="78">
        <f t="shared" si="34"/>
        <v>0</v>
      </c>
    </row>
    <row r="185" spans="1:15" s="42" customFormat="1" ht="15">
      <c r="A185" s="35">
        <v>901</v>
      </c>
      <c r="B185" s="43" t="s">
        <v>136</v>
      </c>
      <c r="C185" s="44">
        <v>3718</v>
      </c>
      <c r="D185" s="44">
        <f>83780.2-5222.5</f>
        <v>78557.7</v>
      </c>
      <c r="E185" s="44">
        <f>C185+D185</f>
        <v>82275.7</v>
      </c>
      <c r="F185" s="44"/>
      <c r="G185" s="44"/>
      <c r="H185" s="44">
        <v>3557</v>
      </c>
      <c r="I185" s="44">
        <f>70611-26574-6962</f>
        <v>37075</v>
      </c>
      <c r="J185" s="44">
        <f>H185+I185</f>
        <v>40632</v>
      </c>
      <c r="K185" s="44">
        <f aca="true" t="shared" si="35" ref="K185:M189">IF(C185&lt;&gt;0,IF(H185&lt;&gt;0,H185/C185*100,0),0)</f>
        <v>95.66971490048412</v>
      </c>
      <c r="L185" s="44">
        <f t="shared" si="35"/>
        <v>47.19460982182523</v>
      </c>
      <c r="M185" s="44">
        <f t="shared" si="35"/>
        <v>49.385176911287296</v>
      </c>
      <c r="O185" s="78">
        <f t="shared" si="34"/>
        <v>0</v>
      </c>
    </row>
    <row r="186" spans="1:15" s="42" customFormat="1" ht="15">
      <c r="A186" s="35">
        <v>902</v>
      </c>
      <c r="B186" s="43" t="s">
        <v>137</v>
      </c>
      <c r="C186" s="44"/>
      <c r="D186" s="44">
        <v>7806.8</v>
      </c>
      <c r="E186" s="44">
        <f>C186+D186</f>
        <v>7806.8</v>
      </c>
      <c r="F186" s="44"/>
      <c r="G186" s="44"/>
      <c r="H186" s="44"/>
      <c r="I186" s="44">
        <f>8430-8430</f>
        <v>0</v>
      </c>
      <c r="J186" s="44">
        <f>H186+I186</f>
        <v>0</v>
      </c>
      <c r="K186" s="44">
        <f t="shared" si="35"/>
        <v>0</v>
      </c>
      <c r="L186" s="44">
        <f t="shared" si="35"/>
        <v>0</v>
      </c>
      <c r="M186" s="44">
        <f t="shared" si="35"/>
        <v>0</v>
      </c>
      <c r="O186" s="78">
        <f t="shared" si="34"/>
        <v>0</v>
      </c>
    </row>
    <row r="187" spans="1:15" s="42" customFormat="1" ht="30">
      <c r="A187" s="35">
        <v>904</v>
      </c>
      <c r="B187" s="43" t="s">
        <v>138</v>
      </c>
      <c r="C187" s="44">
        <v>51013</v>
      </c>
      <c r="D187" s="44">
        <f>3.4+1504.5</f>
        <v>1507.9</v>
      </c>
      <c r="E187" s="44">
        <f>C187+D187</f>
        <v>52520.9</v>
      </c>
      <c r="F187" s="44"/>
      <c r="G187" s="44"/>
      <c r="H187" s="44">
        <v>29599</v>
      </c>
      <c r="I187" s="44">
        <v>158.9</v>
      </c>
      <c r="J187" s="44">
        <f>H187+I187</f>
        <v>29757.9</v>
      </c>
      <c r="K187" s="44">
        <f t="shared" si="35"/>
        <v>58.02246486189795</v>
      </c>
      <c r="L187" s="44">
        <f t="shared" si="35"/>
        <v>10.537834073877578</v>
      </c>
      <c r="M187" s="44">
        <f t="shared" si="35"/>
        <v>56.65915854450324</v>
      </c>
      <c r="O187" s="78">
        <f t="shared" si="34"/>
        <v>0</v>
      </c>
    </row>
    <row r="188" spans="1:17" s="61" customFormat="1" ht="15.75">
      <c r="A188" s="60"/>
      <c r="B188" s="40" t="s">
        <v>139</v>
      </c>
      <c r="C188" s="41">
        <f>C190+C194</f>
        <v>48955</v>
      </c>
      <c r="D188" s="41">
        <f>D190+D194</f>
        <v>24726.5</v>
      </c>
      <c r="E188" s="41">
        <f>C188+D188</f>
        <v>73681.5</v>
      </c>
      <c r="F188" s="41">
        <f>F190+F194</f>
        <v>14435.900000000001</v>
      </c>
      <c r="G188" s="41">
        <f>G190+G194</f>
        <v>14435.9</v>
      </c>
      <c r="H188" s="41">
        <f>H190+H194</f>
        <v>61970</v>
      </c>
      <c r="I188" s="41">
        <f>I190+I194</f>
        <v>10407</v>
      </c>
      <c r="J188" s="41">
        <f>H188+I188</f>
        <v>72377</v>
      </c>
      <c r="K188" s="41">
        <f t="shared" si="35"/>
        <v>126.58563987335307</v>
      </c>
      <c r="L188" s="41">
        <f t="shared" si="35"/>
        <v>42.0884476169292</v>
      </c>
      <c r="M188" s="41">
        <f t="shared" si="35"/>
        <v>98.22954201529556</v>
      </c>
      <c r="N188" s="61">
        <v>72377</v>
      </c>
      <c r="O188" s="78">
        <f t="shared" si="34"/>
        <v>0</v>
      </c>
      <c r="P188" s="61">
        <v>72297</v>
      </c>
      <c r="Q188" s="42">
        <f>N188-P188</f>
        <v>80</v>
      </c>
    </row>
    <row r="189" spans="1:15" s="61" customFormat="1" ht="15.75" hidden="1" outlineLevel="1">
      <c r="A189" s="60"/>
      <c r="B189" s="62" t="s">
        <v>37</v>
      </c>
      <c r="C189" s="41"/>
      <c r="D189" s="41"/>
      <c r="E189" s="41">
        <f>C189+D189</f>
        <v>0</v>
      </c>
      <c r="F189" s="41"/>
      <c r="G189" s="41"/>
      <c r="H189" s="44"/>
      <c r="I189" s="41"/>
      <c r="J189" s="41">
        <f>H189+I189</f>
        <v>0</v>
      </c>
      <c r="K189" s="41">
        <f t="shared" si="35"/>
        <v>0</v>
      </c>
      <c r="L189" s="41">
        <f t="shared" si="35"/>
        <v>0</v>
      </c>
      <c r="M189" s="41">
        <f t="shared" si="35"/>
        <v>0</v>
      </c>
      <c r="O189" s="78">
        <f t="shared" si="34"/>
        <v>0</v>
      </c>
    </row>
    <row r="190" spans="1:15" s="42" customFormat="1" ht="15.75" hidden="1" outlineLevel="1">
      <c r="A190" s="35"/>
      <c r="B190" s="62"/>
      <c r="C190" s="44"/>
      <c r="D190" s="44"/>
      <c r="E190" s="44"/>
      <c r="F190" s="44"/>
      <c r="G190" s="44"/>
      <c r="H190" s="44"/>
      <c r="I190" s="44"/>
      <c r="J190" s="44"/>
      <c r="K190" s="41"/>
      <c r="L190" s="41"/>
      <c r="M190" s="41"/>
      <c r="O190" s="78">
        <f t="shared" si="34"/>
        <v>0</v>
      </c>
    </row>
    <row r="191" spans="1:15" s="42" customFormat="1" ht="15.75" hidden="1" outlineLevel="1">
      <c r="A191" s="35"/>
      <c r="B191" s="62"/>
      <c r="C191" s="44"/>
      <c r="D191" s="44"/>
      <c r="E191" s="44"/>
      <c r="F191" s="44"/>
      <c r="G191" s="44"/>
      <c r="H191" s="44"/>
      <c r="I191" s="44"/>
      <c r="J191" s="44"/>
      <c r="K191" s="41"/>
      <c r="L191" s="41"/>
      <c r="M191" s="41"/>
      <c r="O191" s="78">
        <f t="shared" si="34"/>
        <v>0</v>
      </c>
    </row>
    <row r="192" spans="1:15" s="42" customFormat="1" ht="15.75" hidden="1" outlineLevel="1">
      <c r="A192" s="35"/>
      <c r="B192" s="62"/>
      <c r="C192" s="44"/>
      <c r="D192" s="44"/>
      <c r="E192" s="44"/>
      <c r="F192" s="44"/>
      <c r="G192" s="44"/>
      <c r="H192" s="44"/>
      <c r="I192" s="44"/>
      <c r="J192" s="44"/>
      <c r="K192" s="41"/>
      <c r="L192" s="41"/>
      <c r="M192" s="41"/>
      <c r="O192" s="78">
        <f t="shared" si="34"/>
        <v>0</v>
      </c>
    </row>
    <row r="193" spans="1:15" s="42" customFormat="1" ht="15.75" hidden="1" outlineLevel="1">
      <c r="A193" s="35"/>
      <c r="B193" s="62"/>
      <c r="C193" s="44"/>
      <c r="D193" s="44"/>
      <c r="E193" s="44"/>
      <c r="F193" s="44"/>
      <c r="G193" s="44"/>
      <c r="H193" s="44"/>
      <c r="I193" s="44"/>
      <c r="J193" s="44"/>
      <c r="K193" s="41"/>
      <c r="L193" s="41"/>
      <c r="M193" s="41"/>
      <c r="O193" s="78">
        <f t="shared" si="34"/>
        <v>0</v>
      </c>
    </row>
    <row r="194" spans="1:15" s="42" customFormat="1" ht="45" hidden="1" outlineLevel="1" collapsed="1">
      <c r="A194" s="35"/>
      <c r="B194" s="43" t="s">
        <v>97</v>
      </c>
      <c r="C194" s="44">
        <f>SUM(C196:C200)</f>
        <v>48955</v>
      </c>
      <c r="D194" s="44">
        <f>SUM(D196:D200)</f>
        <v>24726.5</v>
      </c>
      <c r="E194" s="44">
        <f>C194+D194</f>
        <v>73681.5</v>
      </c>
      <c r="F194" s="44">
        <f>SUM(F196:F200)</f>
        <v>14435.900000000001</v>
      </c>
      <c r="G194" s="44">
        <f>SUM(G196:G200)</f>
        <v>14435.9</v>
      </c>
      <c r="H194" s="44">
        <f>SUM(H196:H200)</f>
        <v>61970</v>
      </c>
      <c r="I194" s="44">
        <f>SUM(I196:I200)</f>
        <v>10407</v>
      </c>
      <c r="J194" s="44">
        <f>H194+I194</f>
        <v>72377</v>
      </c>
      <c r="K194" s="44">
        <f>IF(C194&lt;&gt;0,IF(H194&lt;&gt;0,H194/C194*100,0),0)</f>
        <v>126.58563987335307</v>
      </c>
      <c r="L194" s="44">
        <f>IF(D194&lt;&gt;0,IF(I194&lt;&gt;0,I194/D194*100,0),0)</f>
        <v>42.0884476169292</v>
      </c>
      <c r="M194" s="44">
        <f>IF(E194&lt;&gt;0,IF(J194&lt;&gt;0,J194/E194*100,0),0)</f>
        <v>98.22954201529556</v>
      </c>
      <c r="O194" s="78">
        <f t="shared" si="34"/>
        <v>0</v>
      </c>
    </row>
    <row r="195" spans="1:15" s="42" customFormat="1" ht="15" collapsed="1">
      <c r="A195" s="35"/>
      <c r="B195" s="43" t="s">
        <v>98</v>
      </c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O195" s="78">
        <f t="shared" si="34"/>
        <v>0</v>
      </c>
    </row>
    <row r="196" spans="1:15" s="42" customFormat="1" ht="15">
      <c r="A196" s="35">
        <v>1001</v>
      </c>
      <c r="B196" s="43" t="s">
        <v>140</v>
      </c>
      <c r="C196" s="44"/>
      <c r="D196" s="44">
        <v>2342</v>
      </c>
      <c r="E196" s="44">
        <f aca="true" t="shared" si="36" ref="E196:E206">C196+D196</f>
        <v>2342</v>
      </c>
      <c r="F196" s="44">
        <f>5383.6+2230+280+130+127+1383+4902.3</f>
        <v>14435.900000000001</v>
      </c>
      <c r="G196" s="44">
        <v>14435.9</v>
      </c>
      <c r="H196" s="44"/>
      <c r="I196" s="44"/>
      <c r="J196" s="44">
        <f aca="true" t="shared" si="37" ref="J196:J221">H196+I196</f>
        <v>0</v>
      </c>
      <c r="K196" s="44">
        <f aca="true" t="shared" si="38" ref="K196:K206">IF(C196&lt;&gt;0,IF(H196&lt;&gt;0,H196/C196*100,0),0)</f>
        <v>0</v>
      </c>
      <c r="L196" s="44">
        <f aca="true" t="shared" si="39" ref="L196:L206">IF(D196&lt;&gt;0,IF(I196&lt;&gt;0,I196/D196*100,0),0)</f>
        <v>0</v>
      </c>
      <c r="M196" s="44">
        <f aca="true" t="shared" si="40" ref="M196:M206">IF(E196&lt;&gt;0,IF(J196&lt;&gt;0,J196/E196*100,0),0)</f>
        <v>0</v>
      </c>
      <c r="O196" s="78">
        <f t="shared" si="34"/>
        <v>0</v>
      </c>
    </row>
    <row r="197" spans="1:15" s="42" customFormat="1" ht="30">
      <c r="A197" s="35">
        <v>1002</v>
      </c>
      <c r="B197" s="43" t="s">
        <v>141</v>
      </c>
      <c r="C197" s="44"/>
      <c r="D197" s="44">
        <v>5383.7</v>
      </c>
      <c r="E197" s="44">
        <f t="shared" si="36"/>
        <v>5383.7</v>
      </c>
      <c r="F197" s="44"/>
      <c r="G197" s="44"/>
      <c r="H197" s="44"/>
      <c r="I197" s="44">
        <v>4165</v>
      </c>
      <c r="J197" s="44">
        <f t="shared" si="37"/>
        <v>4165</v>
      </c>
      <c r="K197" s="44">
        <f t="shared" si="38"/>
        <v>0</v>
      </c>
      <c r="L197" s="44">
        <f t="shared" si="39"/>
        <v>77.36315173579509</v>
      </c>
      <c r="M197" s="44">
        <f t="shared" si="40"/>
        <v>77.36315173579509</v>
      </c>
      <c r="O197" s="78">
        <f t="shared" si="34"/>
        <v>0</v>
      </c>
    </row>
    <row r="198" spans="1:15" s="42" customFormat="1" ht="15">
      <c r="A198" s="35">
        <v>1003</v>
      </c>
      <c r="B198" s="62" t="s">
        <v>142</v>
      </c>
      <c r="C198" s="44">
        <v>38742</v>
      </c>
      <c r="D198" s="44">
        <v>8131.8</v>
      </c>
      <c r="E198" s="44">
        <f t="shared" si="36"/>
        <v>46873.8</v>
      </c>
      <c r="F198" s="44"/>
      <c r="G198" s="44"/>
      <c r="H198" s="44">
        <f>4449+48583</f>
        <v>53032</v>
      </c>
      <c r="I198" s="44">
        <f>5000+763-5000</f>
        <v>763</v>
      </c>
      <c r="J198" s="44">
        <f t="shared" si="37"/>
        <v>53795</v>
      </c>
      <c r="K198" s="44">
        <f t="shared" si="38"/>
        <v>136.88503432966806</v>
      </c>
      <c r="L198" s="44">
        <f t="shared" si="39"/>
        <v>9.38291645146216</v>
      </c>
      <c r="M198" s="44">
        <f t="shared" si="40"/>
        <v>114.76560466614612</v>
      </c>
      <c r="O198" s="78">
        <f t="shared" si="34"/>
        <v>0</v>
      </c>
    </row>
    <row r="199" spans="1:15" s="42" customFormat="1" ht="30">
      <c r="A199" s="35">
        <v>1004</v>
      </c>
      <c r="B199" s="62" t="s">
        <v>143</v>
      </c>
      <c r="C199" s="44">
        <v>8980</v>
      </c>
      <c r="D199" s="44">
        <v>957.2</v>
      </c>
      <c r="E199" s="44">
        <f t="shared" si="36"/>
        <v>9937.2</v>
      </c>
      <c r="F199" s="44"/>
      <c r="G199" s="44"/>
      <c r="H199" s="44">
        <v>8938</v>
      </c>
      <c r="I199" s="44">
        <v>0</v>
      </c>
      <c r="J199" s="44">
        <f t="shared" si="37"/>
        <v>8938</v>
      </c>
      <c r="K199" s="44">
        <f t="shared" si="38"/>
        <v>99.53229398663697</v>
      </c>
      <c r="L199" s="44">
        <f t="shared" si="39"/>
        <v>0</v>
      </c>
      <c r="M199" s="44">
        <f t="shared" si="40"/>
        <v>89.94485368111741</v>
      </c>
      <c r="O199" s="78">
        <f t="shared" si="34"/>
        <v>0</v>
      </c>
    </row>
    <row r="200" spans="1:15" s="42" customFormat="1" ht="30">
      <c r="A200" s="35">
        <v>1006</v>
      </c>
      <c r="B200" s="62" t="s">
        <v>144</v>
      </c>
      <c r="C200" s="44">
        <v>1233</v>
      </c>
      <c r="D200" s="44">
        <f>8121.8-210</f>
        <v>7911.8</v>
      </c>
      <c r="E200" s="44">
        <f t="shared" si="36"/>
        <v>9144.8</v>
      </c>
      <c r="F200" s="44"/>
      <c r="G200" s="44"/>
      <c r="H200" s="44"/>
      <c r="I200" s="44">
        <v>5479</v>
      </c>
      <c r="J200" s="44">
        <f t="shared" si="37"/>
        <v>5479</v>
      </c>
      <c r="K200" s="44">
        <f t="shared" si="38"/>
        <v>0</v>
      </c>
      <c r="L200" s="44">
        <f t="shared" si="39"/>
        <v>69.25099218888244</v>
      </c>
      <c r="M200" s="44">
        <f t="shared" si="40"/>
        <v>59.913830810952675</v>
      </c>
      <c r="O200" s="78">
        <f t="shared" si="34"/>
        <v>0</v>
      </c>
    </row>
    <row r="201" spans="1:15" s="42" customFormat="1" ht="15.75" hidden="1" outlineLevel="1">
      <c r="A201" s="35"/>
      <c r="B201" s="40" t="s">
        <v>145</v>
      </c>
      <c r="C201" s="56"/>
      <c r="D201" s="56"/>
      <c r="E201" s="56">
        <f t="shared" si="36"/>
        <v>0</v>
      </c>
      <c r="F201" s="56"/>
      <c r="G201" s="56"/>
      <c r="H201" s="44"/>
      <c r="I201" s="56"/>
      <c r="J201" s="56">
        <f t="shared" si="37"/>
        <v>0</v>
      </c>
      <c r="K201" s="56">
        <f t="shared" si="38"/>
        <v>0</v>
      </c>
      <c r="L201" s="56">
        <f t="shared" si="39"/>
        <v>0</v>
      </c>
      <c r="M201" s="56">
        <f t="shared" si="40"/>
        <v>0</v>
      </c>
      <c r="O201" s="78">
        <f t="shared" si="34"/>
        <v>0</v>
      </c>
    </row>
    <row r="202" spans="1:15" s="42" customFormat="1" ht="15.75" hidden="1" outlineLevel="1">
      <c r="A202" s="35"/>
      <c r="B202" s="62" t="s">
        <v>37</v>
      </c>
      <c r="C202" s="56"/>
      <c r="D202" s="56"/>
      <c r="E202" s="56">
        <f t="shared" si="36"/>
        <v>0</v>
      </c>
      <c r="F202" s="56"/>
      <c r="G202" s="56"/>
      <c r="H202" s="56"/>
      <c r="I202" s="56"/>
      <c r="J202" s="56">
        <f t="shared" si="37"/>
        <v>0</v>
      </c>
      <c r="K202" s="56">
        <f t="shared" si="38"/>
        <v>0</v>
      </c>
      <c r="L202" s="56">
        <f t="shared" si="39"/>
        <v>0</v>
      </c>
      <c r="M202" s="56">
        <f t="shared" si="40"/>
        <v>0</v>
      </c>
      <c r="O202" s="78">
        <f t="shared" si="34"/>
        <v>0</v>
      </c>
    </row>
    <row r="203" spans="1:15" s="42" customFormat="1" ht="30" hidden="1" outlineLevel="1">
      <c r="A203" s="35"/>
      <c r="B203" s="43" t="s">
        <v>146</v>
      </c>
      <c r="C203" s="41"/>
      <c r="D203" s="41"/>
      <c r="E203" s="41">
        <f t="shared" si="36"/>
        <v>0</v>
      </c>
      <c r="F203" s="41"/>
      <c r="G203" s="41"/>
      <c r="H203" s="41"/>
      <c r="I203" s="41"/>
      <c r="J203" s="41">
        <f t="shared" si="37"/>
        <v>0</v>
      </c>
      <c r="K203" s="41">
        <f t="shared" si="38"/>
        <v>0</v>
      </c>
      <c r="L203" s="41">
        <f t="shared" si="39"/>
        <v>0</v>
      </c>
      <c r="M203" s="41">
        <f t="shared" si="40"/>
        <v>0</v>
      </c>
      <c r="O203" s="78">
        <f t="shared" si="34"/>
        <v>0</v>
      </c>
    </row>
    <row r="204" spans="1:15" s="42" customFormat="1" ht="30" hidden="1" outlineLevel="1">
      <c r="A204" s="35"/>
      <c r="B204" s="62" t="s">
        <v>147</v>
      </c>
      <c r="C204" s="41"/>
      <c r="D204" s="41"/>
      <c r="E204" s="41">
        <f t="shared" si="36"/>
        <v>0</v>
      </c>
      <c r="F204" s="41"/>
      <c r="G204" s="41"/>
      <c r="H204" s="41"/>
      <c r="I204" s="41"/>
      <c r="J204" s="41">
        <f t="shared" si="37"/>
        <v>0</v>
      </c>
      <c r="K204" s="41">
        <f t="shared" si="38"/>
        <v>0</v>
      </c>
      <c r="L204" s="41">
        <f t="shared" si="39"/>
        <v>0</v>
      </c>
      <c r="M204" s="41">
        <f t="shared" si="40"/>
        <v>0</v>
      </c>
      <c r="O204" s="78">
        <f t="shared" si="34"/>
        <v>0</v>
      </c>
    </row>
    <row r="205" spans="1:15" s="42" customFormat="1" ht="105" hidden="1" outlineLevel="1">
      <c r="A205" s="35"/>
      <c r="B205" s="43" t="s">
        <v>148</v>
      </c>
      <c r="C205" s="41"/>
      <c r="D205" s="41"/>
      <c r="E205" s="41">
        <f t="shared" si="36"/>
        <v>0</v>
      </c>
      <c r="F205" s="41"/>
      <c r="G205" s="41"/>
      <c r="H205" s="41"/>
      <c r="I205" s="41"/>
      <c r="J205" s="41">
        <f t="shared" si="37"/>
        <v>0</v>
      </c>
      <c r="K205" s="41">
        <f t="shared" si="38"/>
        <v>0</v>
      </c>
      <c r="L205" s="41">
        <f t="shared" si="39"/>
        <v>0</v>
      </c>
      <c r="M205" s="41">
        <f t="shared" si="40"/>
        <v>0</v>
      </c>
      <c r="O205" s="78">
        <f t="shared" si="34"/>
        <v>0</v>
      </c>
    </row>
    <row r="206" spans="1:15" s="42" customFormat="1" ht="15.75" hidden="1" outlineLevel="1">
      <c r="A206" s="35"/>
      <c r="B206" s="43" t="s">
        <v>149</v>
      </c>
      <c r="C206" s="56"/>
      <c r="D206" s="56"/>
      <c r="E206" s="56">
        <f t="shared" si="36"/>
        <v>0</v>
      </c>
      <c r="F206" s="56"/>
      <c r="G206" s="56"/>
      <c r="H206" s="56"/>
      <c r="I206" s="56"/>
      <c r="J206" s="56">
        <f t="shared" si="37"/>
        <v>0</v>
      </c>
      <c r="K206" s="56">
        <f t="shared" si="38"/>
        <v>0</v>
      </c>
      <c r="L206" s="56">
        <f t="shared" si="39"/>
        <v>0</v>
      </c>
      <c r="M206" s="56">
        <f t="shared" si="40"/>
        <v>0</v>
      </c>
      <c r="O206" s="78">
        <f t="shared" si="34"/>
        <v>0</v>
      </c>
    </row>
    <row r="207" spans="1:15" s="61" customFormat="1" ht="15.75" collapsed="1">
      <c r="A207" s="60"/>
      <c r="B207" s="40" t="s">
        <v>150</v>
      </c>
      <c r="C207" s="56"/>
      <c r="D207" s="56"/>
      <c r="E207" s="56"/>
      <c r="F207" s="56"/>
      <c r="G207" s="56"/>
      <c r="H207" s="56">
        <f>SUM(H208:H221)</f>
        <v>79100</v>
      </c>
      <c r="I207" s="56">
        <f>SUM(I208:I221)</f>
        <v>48020</v>
      </c>
      <c r="J207" s="41">
        <f t="shared" si="37"/>
        <v>127120</v>
      </c>
      <c r="K207" s="56"/>
      <c r="L207" s="56"/>
      <c r="M207" s="56"/>
      <c r="N207" s="61">
        <v>69440</v>
      </c>
      <c r="O207" s="82"/>
    </row>
    <row r="208" spans="1:15" s="42" customFormat="1" ht="45">
      <c r="A208" s="35"/>
      <c r="B208" s="83" t="s">
        <v>151</v>
      </c>
      <c r="C208" s="56"/>
      <c r="D208" s="56"/>
      <c r="E208" s="56"/>
      <c r="F208" s="56"/>
      <c r="G208" s="56"/>
      <c r="H208" s="54"/>
      <c r="I208" s="54">
        <v>8000</v>
      </c>
      <c r="J208" s="44">
        <f t="shared" si="37"/>
        <v>8000</v>
      </c>
      <c r="K208" s="56"/>
      <c r="L208" s="56"/>
      <c r="M208" s="56"/>
      <c r="O208" s="78"/>
    </row>
    <row r="209" spans="1:15" s="42" customFormat="1" ht="30">
      <c r="A209" s="35"/>
      <c r="B209" s="83" t="s">
        <v>152</v>
      </c>
      <c r="C209" s="56"/>
      <c r="D209" s="56"/>
      <c r="E209" s="56"/>
      <c r="F209" s="56"/>
      <c r="G209" s="56"/>
      <c r="H209" s="54"/>
      <c r="I209" s="54">
        <v>3000</v>
      </c>
      <c r="J209" s="44">
        <f t="shared" si="37"/>
        <v>3000</v>
      </c>
      <c r="K209" s="56"/>
      <c r="L209" s="56"/>
      <c r="M209" s="56"/>
      <c r="O209" s="78"/>
    </row>
    <row r="210" spans="1:15" s="42" customFormat="1" ht="15.75">
      <c r="A210" s="35"/>
      <c r="B210" s="83" t="s">
        <v>153</v>
      </c>
      <c r="C210" s="56"/>
      <c r="D210" s="56"/>
      <c r="E210" s="56"/>
      <c r="F210" s="56"/>
      <c r="G210" s="56"/>
      <c r="H210" s="54"/>
      <c r="I210" s="54">
        <f>9212+80</f>
        <v>9292</v>
      </c>
      <c r="J210" s="44">
        <f t="shared" si="37"/>
        <v>9292</v>
      </c>
      <c r="K210" s="56"/>
      <c r="L210" s="56"/>
      <c r="M210" s="56"/>
      <c r="O210" s="78" t="s">
        <v>154</v>
      </c>
    </row>
    <row r="211" spans="1:15" s="42" customFormat="1" ht="45">
      <c r="A211" s="35"/>
      <c r="B211" s="83" t="s">
        <v>155</v>
      </c>
      <c r="C211" s="56"/>
      <c r="D211" s="56"/>
      <c r="E211" s="56"/>
      <c r="F211" s="56"/>
      <c r="G211" s="56"/>
      <c r="H211" s="54">
        <v>10000</v>
      </c>
      <c r="I211" s="54"/>
      <c r="J211" s="44">
        <f t="shared" si="37"/>
        <v>10000</v>
      </c>
      <c r="K211" s="56"/>
      <c r="L211" s="56"/>
      <c r="M211" s="56"/>
      <c r="O211" s="78"/>
    </row>
    <row r="212" spans="1:15" s="42" customFormat="1" ht="75">
      <c r="A212" s="35"/>
      <c r="B212" s="83" t="s">
        <v>156</v>
      </c>
      <c r="C212" s="56"/>
      <c r="D212" s="56"/>
      <c r="E212" s="56"/>
      <c r="F212" s="56"/>
      <c r="G212" s="56"/>
      <c r="H212" s="54"/>
      <c r="I212" s="54">
        <v>5000</v>
      </c>
      <c r="J212" s="44">
        <f t="shared" si="37"/>
        <v>5000</v>
      </c>
      <c r="K212" s="56"/>
      <c r="L212" s="56"/>
      <c r="M212" s="56"/>
      <c r="O212" s="78"/>
    </row>
    <row r="213" spans="1:15" s="42" customFormat="1" ht="45">
      <c r="A213" s="35"/>
      <c r="B213" s="83" t="s">
        <v>157</v>
      </c>
      <c r="C213" s="56"/>
      <c r="D213" s="56"/>
      <c r="E213" s="56"/>
      <c r="F213" s="56"/>
      <c r="G213" s="56"/>
      <c r="H213" s="54">
        <v>15000</v>
      </c>
      <c r="I213" s="54"/>
      <c r="J213" s="44">
        <f t="shared" si="37"/>
        <v>15000</v>
      </c>
      <c r="K213" s="56"/>
      <c r="L213" s="56"/>
      <c r="M213" s="56"/>
      <c r="O213" s="78"/>
    </row>
    <row r="214" spans="1:15" s="42" customFormat="1" ht="75">
      <c r="A214" s="35"/>
      <c r="B214" s="84" t="s">
        <v>158</v>
      </c>
      <c r="C214" s="56"/>
      <c r="D214" s="56"/>
      <c r="E214" s="56"/>
      <c r="F214" s="56"/>
      <c r="G214" s="56"/>
      <c r="H214" s="54"/>
      <c r="I214" s="54">
        <v>7230</v>
      </c>
      <c r="J214" s="44">
        <f t="shared" si="37"/>
        <v>7230</v>
      </c>
      <c r="K214" s="56"/>
      <c r="L214" s="56"/>
      <c r="M214" s="56"/>
      <c r="O214" s="78"/>
    </row>
    <row r="215" spans="1:15" s="42" customFormat="1" ht="45">
      <c r="A215" s="35"/>
      <c r="B215" s="84" t="s">
        <v>159</v>
      </c>
      <c r="C215" s="56"/>
      <c r="D215" s="56"/>
      <c r="E215" s="56"/>
      <c r="F215" s="56"/>
      <c r="G215" s="56"/>
      <c r="H215" s="54"/>
      <c r="I215" s="54">
        <v>800</v>
      </c>
      <c r="J215" s="44">
        <f t="shared" si="37"/>
        <v>800</v>
      </c>
      <c r="K215" s="56"/>
      <c r="L215" s="56"/>
      <c r="M215" s="56"/>
      <c r="O215" s="78"/>
    </row>
    <row r="216" spans="1:15" s="42" customFormat="1" ht="60">
      <c r="A216" s="35"/>
      <c r="B216" s="84" t="s">
        <v>160</v>
      </c>
      <c r="C216" s="56"/>
      <c r="D216" s="56"/>
      <c r="E216" s="56"/>
      <c r="F216" s="56"/>
      <c r="G216" s="56"/>
      <c r="H216" s="54"/>
      <c r="I216" s="54">
        <v>325</v>
      </c>
      <c r="J216" s="44">
        <f t="shared" si="37"/>
        <v>325</v>
      </c>
      <c r="K216" s="56"/>
      <c r="L216" s="56"/>
      <c r="M216" s="56"/>
      <c r="O216" s="78"/>
    </row>
    <row r="217" spans="1:15" s="42" customFormat="1" ht="45">
      <c r="A217" s="35"/>
      <c r="B217" s="84" t="s">
        <v>161</v>
      </c>
      <c r="C217" s="56"/>
      <c r="D217" s="56"/>
      <c r="E217" s="56"/>
      <c r="F217" s="56"/>
      <c r="G217" s="56"/>
      <c r="H217" s="54"/>
      <c r="I217" s="54">
        <v>5000</v>
      </c>
      <c r="J217" s="44">
        <f t="shared" si="37"/>
        <v>5000</v>
      </c>
      <c r="K217" s="56"/>
      <c r="L217" s="56"/>
      <c r="M217" s="56"/>
      <c r="O217" s="78"/>
    </row>
    <row r="218" spans="1:15" s="42" customFormat="1" ht="15.75">
      <c r="A218" s="35"/>
      <c r="B218" s="85" t="s">
        <v>162</v>
      </c>
      <c r="C218" s="56"/>
      <c r="D218" s="56"/>
      <c r="E218" s="56"/>
      <c r="F218" s="56"/>
      <c r="G218" s="56"/>
      <c r="H218" s="54"/>
      <c r="I218" s="54">
        <v>3900</v>
      </c>
      <c r="J218" s="44">
        <f t="shared" si="37"/>
        <v>3900</v>
      </c>
      <c r="K218" s="56"/>
      <c r="L218" s="56"/>
      <c r="M218" s="56"/>
      <c r="O218" s="78"/>
    </row>
    <row r="219" spans="1:15" s="42" customFormat="1" ht="30">
      <c r="A219" s="35"/>
      <c r="B219" s="86" t="s">
        <v>163</v>
      </c>
      <c r="C219" s="44"/>
      <c r="D219" s="44"/>
      <c r="E219" s="44"/>
      <c r="F219" s="44"/>
      <c r="G219" s="44"/>
      <c r="H219" s="44"/>
      <c r="I219" s="44">
        <v>1973</v>
      </c>
      <c r="J219" s="44">
        <f t="shared" si="37"/>
        <v>1973</v>
      </c>
      <c r="K219" s="44">
        <f>IF(C219&lt;&gt;0,IF(H219&lt;&gt;0,H219/C219*100,0),0)</f>
        <v>0</v>
      </c>
      <c r="L219" s="44">
        <f>IF(D219&lt;&gt;0,IF(I219&lt;&gt;0,I219/D219*100,0),0)</f>
        <v>0</v>
      </c>
      <c r="M219" s="44"/>
      <c r="N219" s="42">
        <f>SUM(N97:N207)</f>
        <v>2326861.3</v>
      </c>
      <c r="O219" s="78">
        <f>H219+I219-J219</f>
        <v>0</v>
      </c>
    </row>
    <row r="220" spans="1:15" s="42" customFormat="1" ht="30">
      <c r="A220" s="35"/>
      <c r="B220" s="86" t="s">
        <v>164</v>
      </c>
      <c r="C220" s="44"/>
      <c r="D220" s="44"/>
      <c r="E220" s="44"/>
      <c r="F220" s="44"/>
      <c r="G220" s="44"/>
      <c r="H220" s="44">
        <f>2780+2320</f>
        <v>5100</v>
      </c>
      <c r="I220" s="44"/>
      <c r="J220" s="44">
        <f t="shared" si="37"/>
        <v>5100</v>
      </c>
      <c r="K220" s="44"/>
      <c r="L220" s="44"/>
      <c r="M220" s="44"/>
      <c r="O220" s="78"/>
    </row>
    <row r="221" spans="1:15" s="42" customFormat="1" ht="30">
      <c r="A221" s="35"/>
      <c r="B221" s="86" t="s">
        <v>165</v>
      </c>
      <c r="C221" s="44"/>
      <c r="D221" s="44"/>
      <c r="E221" s="44"/>
      <c r="F221" s="44"/>
      <c r="G221" s="44"/>
      <c r="H221" s="44">
        <f>30000+19000</f>
        <v>49000</v>
      </c>
      <c r="I221" s="44">
        <v>3500</v>
      </c>
      <c r="J221" s="44">
        <f t="shared" si="37"/>
        <v>52500</v>
      </c>
      <c r="K221" s="44"/>
      <c r="L221" s="44"/>
      <c r="M221" s="44"/>
      <c r="O221" s="78"/>
    </row>
    <row r="222" spans="1:15" s="42" customFormat="1" ht="15.75">
      <c r="A222" s="35"/>
      <c r="B222" s="40" t="s">
        <v>166</v>
      </c>
      <c r="C222" s="56"/>
      <c r="D222" s="56"/>
      <c r="E222" s="56">
        <f>E91-E93</f>
        <v>-35176.41000000015</v>
      </c>
      <c r="F222" s="56">
        <f>F91-F93</f>
        <v>-41435.5</v>
      </c>
      <c r="G222" s="56">
        <f>G91-G93</f>
        <v>-41435.5</v>
      </c>
      <c r="H222" s="56"/>
      <c r="I222" s="56"/>
      <c r="J222" s="56">
        <f>J91-J93</f>
        <v>-62973.50999999978</v>
      </c>
      <c r="K222" s="56">
        <f>IF(C222&lt;&gt;0,IF(H222&lt;&gt;0,H222/C222*100,0),0)</f>
        <v>0</v>
      </c>
      <c r="L222" s="56">
        <f>IF(D222&lt;&gt;0,IF(I222&lt;&gt;0,I222/D222*100,0),0)</f>
        <v>0</v>
      </c>
      <c r="M222" s="56"/>
      <c r="O222" s="78">
        <f>H222+I222-J222</f>
        <v>62973.50999999978</v>
      </c>
    </row>
    <row r="223" spans="1:15" s="42" customFormat="1" ht="15.75">
      <c r="A223" s="87"/>
      <c r="B223" s="88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O223" s="78"/>
    </row>
    <row r="224" spans="1:15" s="42" customFormat="1" ht="15.75">
      <c r="A224" s="87"/>
      <c r="B224" s="88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O224" s="78"/>
    </row>
    <row r="225" spans="1:15" s="42" customFormat="1" ht="15.75">
      <c r="A225" s="87"/>
      <c r="B225" s="88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O225" s="78"/>
    </row>
    <row r="226" spans="1:15" s="42" customFormat="1" ht="15.75">
      <c r="A226" s="87"/>
      <c r="B226" s="90" t="s">
        <v>167</v>
      </c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O226" s="78"/>
    </row>
    <row r="227" spans="1:15" s="42" customFormat="1" ht="15.75">
      <c r="A227" s="87"/>
      <c r="B227" s="90" t="s">
        <v>168</v>
      </c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O227" s="78"/>
    </row>
    <row r="228" spans="1:13" s="42" customFormat="1" ht="15" hidden="1" outlineLevel="1">
      <c r="A228" s="87"/>
      <c r="B228" s="91" t="s">
        <v>169</v>
      </c>
      <c r="C228" s="25"/>
      <c r="D228" s="25"/>
      <c r="E228" s="92">
        <f>E12</f>
        <v>523050.8</v>
      </c>
      <c r="F228" s="92"/>
      <c r="G228" s="92"/>
      <c r="H228" s="25"/>
      <c r="I228" s="93"/>
      <c r="J228" s="92">
        <f>J12</f>
        <v>631912.6</v>
      </c>
      <c r="K228" s="94"/>
      <c r="L228" s="94"/>
      <c r="M228" s="94"/>
    </row>
    <row r="229" spans="1:13" s="42" customFormat="1" ht="15" hidden="1" outlineLevel="1">
      <c r="A229" s="87"/>
      <c r="B229" s="91"/>
      <c r="C229" s="25"/>
      <c r="D229" s="25"/>
      <c r="E229" s="92">
        <f>E222/E228*100</f>
        <v>-6.725237778051415</v>
      </c>
      <c r="F229" s="92"/>
      <c r="G229" s="92"/>
      <c r="H229" s="25"/>
      <c r="I229" s="93"/>
      <c r="J229" s="92">
        <f>J222/J228*100</f>
        <v>-9.96554112071824</v>
      </c>
      <c r="K229" s="94"/>
      <c r="L229" s="94"/>
      <c r="M229" s="94"/>
    </row>
    <row r="230" spans="1:13" s="97" customFormat="1" ht="15" hidden="1" outlineLevel="1">
      <c r="A230" s="35"/>
      <c r="B230" s="43" t="s">
        <v>170</v>
      </c>
      <c r="C230" s="37"/>
      <c r="D230" s="37"/>
      <c r="E230" s="95"/>
      <c r="F230" s="95"/>
      <c r="G230" s="95"/>
      <c r="H230" s="37"/>
      <c r="I230" s="96"/>
      <c r="J230" s="95"/>
      <c r="K230" s="54"/>
      <c r="L230" s="54"/>
      <c r="M230" s="54"/>
    </row>
    <row r="231" spans="1:13" s="42" customFormat="1" ht="30" hidden="1" outlineLevel="1">
      <c r="A231" s="87"/>
      <c r="B231" s="91" t="s">
        <v>171</v>
      </c>
      <c r="C231" s="25"/>
      <c r="D231" s="25"/>
      <c r="E231" s="92">
        <f>46912</f>
        <v>46912</v>
      </c>
      <c r="F231" s="92"/>
      <c r="G231" s="92"/>
      <c r="H231" s="25"/>
      <c r="I231" s="93"/>
      <c r="J231" s="92">
        <f>46912+920</f>
        <v>47832</v>
      </c>
      <c r="K231" s="94"/>
      <c r="L231" s="94"/>
      <c r="M231" s="94"/>
    </row>
    <row r="232" spans="1:13" s="42" customFormat="1" ht="15" hidden="1" outlineLevel="1">
      <c r="A232" s="87"/>
      <c r="B232" s="91"/>
      <c r="C232" s="25"/>
      <c r="D232" s="25"/>
      <c r="E232" s="92"/>
      <c r="F232" s="92"/>
      <c r="G232" s="92"/>
      <c r="H232" s="25"/>
      <c r="I232" s="93"/>
      <c r="J232" s="92">
        <v>62973.5</v>
      </c>
      <c r="K232" s="94"/>
      <c r="L232" s="94"/>
      <c r="M232" s="94"/>
    </row>
    <row r="233" spans="1:13" s="42" customFormat="1" ht="15" hidden="1" outlineLevel="1">
      <c r="A233" s="87"/>
      <c r="B233" s="91"/>
      <c r="C233" s="25"/>
      <c r="D233" s="25"/>
      <c r="E233" s="92"/>
      <c r="F233" s="92"/>
      <c r="G233" s="92"/>
      <c r="H233" s="25"/>
      <c r="I233" s="93"/>
      <c r="J233" s="92"/>
      <c r="K233" s="94"/>
      <c r="L233" s="94"/>
      <c r="M233" s="94"/>
    </row>
    <row r="234" spans="1:13" s="42" customFormat="1" ht="27" customHeight="1" hidden="1" outlineLevel="1">
      <c r="A234" s="87"/>
      <c r="B234" s="98" t="s">
        <v>172</v>
      </c>
      <c r="C234" s="99"/>
      <c r="D234" s="99"/>
      <c r="E234" s="99"/>
      <c r="F234" s="92"/>
      <c r="G234" s="92"/>
      <c r="H234" s="25"/>
      <c r="I234" s="93"/>
      <c r="J234" s="25"/>
      <c r="K234" s="94"/>
      <c r="L234" s="94"/>
      <c r="M234" s="94"/>
    </row>
    <row r="235" spans="1:13" s="42" customFormat="1" ht="15" hidden="1" outlineLevel="1">
      <c r="A235" s="87"/>
      <c r="B235" s="91"/>
      <c r="C235" s="25"/>
      <c r="D235" s="25"/>
      <c r="E235" s="92"/>
      <c r="F235" s="92"/>
      <c r="G235" s="92"/>
      <c r="H235" s="25"/>
      <c r="I235" s="93"/>
      <c r="J235" s="25"/>
      <c r="K235" s="94"/>
      <c r="L235" s="94"/>
      <c r="M235" s="94"/>
    </row>
    <row r="236" spans="1:13" s="42" customFormat="1" ht="30" hidden="1" outlineLevel="1">
      <c r="A236" s="87"/>
      <c r="B236" s="100" t="s">
        <v>189</v>
      </c>
      <c r="C236" s="25"/>
      <c r="D236" s="25"/>
      <c r="E236" s="92"/>
      <c r="F236" s="92"/>
      <c r="G236" s="92"/>
      <c r="H236" s="25"/>
      <c r="I236" s="93"/>
      <c r="J236" s="25"/>
      <c r="K236" s="94"/>
      <c r="L236" s="94"/>
      <c r="M236" s="94"/>
    </row>
    <row r="237" spans="1:13" s="42" customFormat="1" ht="15" hidden="1" outlineLevel="1">
      <c r="A237" s="87"/>
      <c r="B237" s="91"/>
      <c r="C237" s="25"/>
      <c r="D237" s="25"/>
      <c r="E237" s="92"/>
      <c r="F237" s="92"/>
      <c r="G237" s="92"/>
      <c r="H237" s="25"/>
      <c r="I237" s="93"/>
      <c r="J237" s="25"/>
      <c r="K237" s="94"/>
      <c r="L237" s="94"/>
      <c r="M237" s="94"/>
    </row>
    <row r="238" spans="1:13" s="42" customFormat="1" ht="15.75" hidden="1" outlineLevel="1" thickBot="1">
      <c r="A238" s="87"/>
      <c r="B238" s="91"/>
      <c r="C238" s="25"/>
      <c r="D238" s="25"/>
      <c r="E238" s="92"/>
      <c r="F238" s="92"/>
      <c r="G238" s="92"/>
      <c r="H238" s="25"/>
      <c r="I238" s="93"/>
      <c r="J238" s="25"/>
      <c r="K238" s="94"/>
      <c r="L238" s="94"/>
      <c r="M238" s="94"/>
    </row>
    <row r="239" spans="1:13" s="42" customFormat="1" ht="15.75" hidden="1" outlineLevel="1" thickBot="1">
      <c r="A239" s="87"/>
      <c r="B239" s="101" t="s">
        <v>173</v>
      </c>
      <c r="C239" s="102" t="s">
        <v>174</v>
      </c>
      <c r="D239" s="103"/>
      <c r="E239" s="103"/>
      <c r="F239" s="92"/>
      <c r="G239" s="92"/>
      <c r="H239" s="102" t="s">
        <v>175</v>
      </c>
      <c r="I239" s="104"/>
      <c r="J239" s="104"/>
      <c r="K239" s="105"/>
      <c r="L239" s="106" t="s">
        <v>176</v>
      </c>
      <c r="M239" s="94"/>
    </row>
    <row r="240" spans="1:13" s="42" customFormat="1" ht="15" hidden="1" outlineLevel="1">
      <c r="A240" s="35"/>
      <c r="B240" s="107"/>
      <c r="C240" s="37" t="s">
        <v>177</v>
      </c>
      <c r="D240" s="37" t="s">
        <v>178</v>
      </c>
      <c r="E240" s="95" t="s">
        <v>179</v>
      </c>
      <c r="F240" s="95"/>
      <c r="G240" s="95"/>
      <c r="H240" s="37" t="s">
        <v>177</v>
      </c>
      <c r="I240" s="37" t="s">
        <v>178</v>
      </c>
      <c r="J240" s="95" t="s">
        <v>179</v>
      </c>
      <c r="K240" s="95" t="s">
        <v>93</v>
      </c>
      <c r="L240" s="54"/>
      <c r="M240" s="94"/>
    </row>
    <row r="241" spans="1:13" s="42" customFormat="1" ht="15" hidden="1" outlineLevel="1">
      <c r="A241" s="87"/>
      <c r="B241" s="91"/>
      <c r="C241" s="25"/>
      <c r="D241" s="25"/>
      <c r="E241" s="92"/>
      <c r="F241" s="92"/>
      <c r="G241" s="92"/>
      <c r="H241" s="25"/>
      <c r="I241" s="93"/>
      <c r="J241" s="25"/>
      <c r="K241" s="94"/>
      <c r="L241" s="94"/>
      <c r="M241" s="94"/>
    </row>
    <row r="242" spans="1:13" s="42" customFormat="1" ht="15" hidden="1" outlineLevel="1">
      <c r="A242" s="87"/>
      <c r="B242" s="91" t="s">
        <v>180</v>
      </c>
      <c r="C242" s="25"/>
      <c r="D242" s="25"/>
      <c r="E242" s="92"/>
      <c r="F242" s="92"/>
      <c r="G242" s="92"/>
      <c r="H242" s="25"/>
      <c r="I242" s="93"/>
      <c r="J242" s="25"/>
      <c r="K242" s="94"/>
      <c r="L242" s="94"/>
      <c r="M242" s="94"/>
    </row>
    <row r="243" spans="1:13" s="42" customFormat="1" ht="15" hidden="1" outlineLevel="1">
      <c r="A243" s="87"/>
      <c r="B243" s="91" t="s">
        <v>181</v>
      </c>
      <c r="C243" s="25"/>
      <c r="D243" s="25"/>
      <c r="E243" s="92"/>
      <c r="F243" s="92"/>
      <c r="G243" s="92"/>
      <c r="H243" s="25"/>
      <c r="I243" s="93"/>
      <c r="J243" s="25"/>
      <c r="K243" s="94"/>
      <c r="L243" s="94"/>
      <c r="M243" s="94"/>
    </row>
    <row r="244" spans="1:13" s="42" customFormat="1" ht="15" hidden="1" outlineLevel="1">
      <c r="A244" s="87"/>
      <c r="B244" s="91" t="s">
        <v>182</v>
      </c>
      <c r="C244" s="25"/>
      <c r="D244" s="25"/>
      <c r="E244" s="92"/>
      <c r="F244" s="92"/>
      <c r="G244" s="92"/>
      <c r="H244" s="25"/>
      <c r="I244" s="93"/>
      <c r="J244" s="25"/>
      <c r="K244" s="94"/>
      <c r="L244" s="94"/>
      <c r="M244" s="94"/>
    </row>
    <row r="245" spans="1:13" s="42" customFormat="1" ht="15" hidden="1" outlineLevel="1">
      <c r="A245" s="87"/>
      <c r="B245" s="91" t="s">
        <v>183</v>
      </c>
      <c r="C245" s="25"/>
      <c r="D245" s="25"/>
      <c r="E245" s="92"/>
      <c r="F245" s="92"/>
      <c r="G245" s="92"/>
      <c r="H245" s="25"/>
      <c r="I245" s="93"/>
      <c r="J245" s="25"/>
      <c r="K245" s="94"/>
      <c r="L245" s="94"/>
      <c r="M245" s="94"/>
    </row>
    <row r="246" spans="1:13" s="42" customFormat="1" ht="15" hidden="1" outlineLevel="1">
      <c r="A246" s="87"/>
      <c r="B246" s="91" t="s">
        <v>184</v>
      </c>
      <c r="C246" s="25"/>
      <c r="D246" s="25"/>
      <c r="E246" s="92"/>
      <c r="F246" s="92"/>
      <c r="G246" s="92"/>
      <c r="H246" s="25"/>
      <c r="I246" s="93"/>
      <c r="J246" s="25"/>
      <c r="K246" s="94"/>
      <c r="L246" s="94"/>
      <c r="M246" s="94"/>
    </row>
    <row r="247" spans="1:13" s="42" customFormat="1" ht="15" hidden="1" outlineLevel="1">
      <c r="A247" s="87"/>
      <c r="B247" s="91" t="s">
        <v>185</v>
      </c>
      <c r="C247" s="25"/>
      <c r="D247" s="25"/>
      <c r="E247" s="92"/>
      <c r="F247" s="92"/>
      <c r="G247" s="92"/>
      <c r="H247" s="25"/>
      <c r="I247" s="93"/>
      <c r="J247" s="25"/>
      <c r="K247" s="94"/>
      <c r="L247" s="94"/>
      <c r="M247" s="94"/>
    </row>
    <row r="248" spans="1:13" s="42" customFormat="1" ht="15" hidden="1" outlineLevel="1">
      <c r="A248" s="87"/>
      <c r="B248" s="91" t="s">
        <v>186</v>
      </c>
      <c r="C248" s="25"/>
      <c r="D248" s="25"/>
      <c r="E248" s="92"/>
      <c r="F248" s="92"/>
      <c r="G248" s="92"/>
      <c r="H248" s="25"/>
      <c r="I248" s="93"/>
      <c r="J248" s="25"/>
      <c r="K248" s="94"/>
      <c r="L248" s="94"/>
      <c r="M248" s="94"/>
    </row>
    <row r="249" spans="1:13" s="42" customFormat="1" ht="15" hidden="1" outlineLevel="1">
      <c r="A249" s="87"/>
      <c r="B249" s="91" t="s">
        <v>187</v>
      </c>
      <c r="C249" s="25"/>
      <c r="D249" s="25"/>
      <c r="E249" s="92"/>
      <c r="F249" s="92"/>
      <c r="G249" s="92"/>
      <c r="H249" s="25"/>
      <c r="I249" s="93"/>
      <c r="J249" s="25"/>
      <c r="K249" s="94"/>
      <c r="L249" s="94"/>
      <c r="M249" s="94"/>
    </row>
    <row r="250" spans="1:13" s="42" customFormat="1" ht="15" hidden="1" outlineLevel="1">
      <c r="A250" s="87"/>
      <c r="B250" s="91" t="s">
        <v>188</v>
      </c>
      <c r="C250" s="25"/>
      <c r="D250" s="25"/>
      <c r="E250" s="92"/>
      <c r="F250" s="92"/>
      <c r="G250" s="92"/>
      <c r="H250" s="25"/>
      <c r="I250" s="93"/>
      <c r="J250" s="25"/>
      <c r="K250" s="94"/>
      <c r="L250" s="94"/>
      <c r="M250" s="94"/>
    </row>
    <row r="251" spans="1:13" s="42" customFormat="1" ht="15" hidden="1" outlineLevel="1">
      <c r="A251" s="87"/>
      <c r="B251" s="91"/>
      <c r="C251" s="25"/>
      <c r="D251" s="25"/>
      <c r="E251" s="92"/>
      <c r="F251" s="92"/>
      <c r="G251" s="92"/>
      <c r="H251" s="25"/>
      <c r="I251" s="93"/>
      <c r="J251" s="25"/>
      <c r="K251" s="94"/>
      <c r="L251" s="94"/>
      <c r="M251" s="94"/>
    </row>
    <row r="252" spans="1:13" s="42" customFormat="1" ht="15" hidden="1" outlineLevel="1">
      <c r="A252" s="87"/>
      <c r="B252" s="91" t="s">
        <v>93</v>
      </c>
      <c r="C252" s="25"/>
      <c r="D252" s="25"/>
      <c r="E252" s="92"/>
      <c r="F252" s="92"/>
      <c r="G252" s="92"/>
      <c r="H252" s="25"/>
      <c r="I252" s="93"/>
      <c r="J252" s="25"/>
      <c r="K252" s="94"/>
      <c r="L252" s="94"/>
      <c r="M252" s="94"/>
    </row>
    <row r="253" spans="1:13" s="42" customFormat="1" ht="15" collapsed="1">
      <c r="A253" s="87"/>
      <c r="B253" s="91"/>
      <c r="C253" s="25"/>
      <c r="D253" s="25"/>
      <c r="E253" s="92"/>
      <c r="F253" s="92"/>
      <c r="G253" s="92"/>
      <c r="H253" s="25"/>
      <c r="I253" s="93"/>
      <c r="J253" s="25"/>
      <c r="K253" s="94"/>
      <c r="L253" s="94"/>
      <c r="M253" s="94"/>
    </row>
    <row r="254" spans="1:13" s="42" customFormat="1" ht="15">
      <c r="A254" s="87"/>
      <c r="B254" s="91"/>
      <c r="C254" s="25"/>
      <c r="D254" s="25"/>
      <c r="E254" s="92"/>
      <c r="F254" s="92"/>
      <c r="G254" s="92"/>
      <c r="H254" s="25"/>
      <c r="I254" s="93"/>
      <c r="J254" s="25"/>
      <c r="K254" s="94"/>
      <c r="L254" s="94"/>
      <c r="M254" s="94"/>
    </row>
    <row r="255" spans="1:13" s="42" customFormat="1" ht="15">
      <c r="A255" s="87"/>
      <c r="B255" s="91"/>
      <c r="C255" s="25"/>
      <c r="D255" s="25"/>
      <c r="E255" s="92"/>
      <c r="F255" s="92"/>
      <c r="G255" s="92"/>
      <c r="H255" s="25"/>
      <c r="I255" s="93"/>
      <c r="J255" s="25"/>
      <c r="K255" s="94"/>
      <c r="L255" s="94"/>
      <c r="M255" s="94"/>
    </row>
    <row r="256" spans="1:13" s="42" customFormat="1" ht="15">
      <c r="A256" s="87"/>
      <c r="B256" s="91"/>
      <c r="C256" s="25"/>
      <c r="D256" s="25"/>
      <c r="E256" s="92"/>
      <c r="F256" s="92"/>
      <c r="G256" s="92"/>
      <c r="H256" s="25"/>
      <c r="I256" s="93"/>
      <c r="J256" s="25"/>
      <c r="K256" s="94"/>
      <c r="L256" s="94"/>
      <c r="M256" s="94"/>
    </row>
    <row r="257" spans="1:13" s="42" customFormat="1" ht="15">
      <c r="A257" s="87"/>
      <c r="B257" s="91"/>
      <c r="C257" s="25"/>
      <c r="D257" s="25"/>
      <c r="E257" s="92"/>
      <c r="F257" s="92"/>
      <c r="G257" s="92"/>
      <c r="H257" s="25"/>
      <c r="I257" s="93"/>
      <c r="J257" s="25"/>
      <c r="K257" s="94"/>
      <c r="L257" s="94"/>
      <c r="M257" s="94"/>
    </row>
    <row r="258" spans="1:13" s="42" customFormat="1" ht="15">
      <c r="A258" s="87"/>
      <c r="B258" s="91"/>
      <c r="C258" s="25"/>
      <c r="D258" s="25"/>
      <c r="E258" s="92"/>
      <c r="F258" s="92"/>
      <c r="G258" s="92"/>
      <c r="H258" s="25"/>
      <c r="I258" s="93"/>
      <c r="J258" s="25"/>
      <c r="K258" s="94"/>
      <c r="L258" s="94"/>
      <c r="M258" s="94"/>
    </row>
    <row r="259" spans="1:13" s="42" customFormat="1" ht="15">
      <c r="A259" s="87"/>
      <c r="B259" s="91"/>
      <c r="C259" s="25"/>
      <c r="D259" s="25"/>
      <c r="E259" s="92"/>
      <c r="F259" s="92"/>
      <c r="G259" s="92"/>
      <c r="H259" s="25"/>
      <c r="I259" s="93"/>
      <c r="J259" s="25"/>
      <c r="K259" s="94"/>
      <c r="L259" s="94"/>
      <c r="M259" s="94"/>
    </row>
    <row r="260" spans="1:13" s="42" customFormat="1" ht="15">
      <c r="A260" s="87"/>
      <c r="B260" s="91"/>
      <c r="C260" s="25"/>
      <c r="D260" s="25"/>
      <c r="E260" s="92"/>
      <c r="F260" s="92"/>
      <c r="G260" s="92"/>
      <c r="H260" s="25"/>
      <c r="I260" s="93"/>
      <c r="J260" s="25"/>
      <c r="K260" s="94"/>
      <c r="L260" s="94"/>
      <c r="M260" s="94"/>
    </row>
    <row r="261" spans="1:13" s="42" customFormat="1" ht="15">
      <c r="A261" s="87"/>
      <c r="B261" s="91"/>
      <c r="C261" s="25"/>
      <c r="D261" s="25"/>
      <c r="E261" s="92"/>
      <c r="F261" s="92"/>
      <c r="G261" s="92"/>
      <c r="H261" s="25"/>
      <c r="I261" s="93"/>
      <c r="J261" s="25"/>
      <c r="K261" s="94"/>
      <c r="L261" s="94"/>
      <c r="M261" s="94"/>
    </row>
    <row r="262" spans="1:13" s="42" customFormat="1" ht="15">
      <c r="A262" s="87"/>
      <c r="B262" s="91"/>
      <c r="C262" s="25"/>
      <c r="D262" s="25"/>
      <c r="E262" s="92"/>
      <c r="F262" s="92"/>
      <c r="G262" s="92"/>
      <c r="H262" s="25"/>
      <c r="I262" s="93"/>
      <c r="J262" s="25"/>
      <c r="K262" s="94"/>
      <c r="L262" s="94"/>
      <c r="M262" s="94"/>
    </row>
    <row r="263" spans="1:13" s="42" customFormat="1" ht="15">
      <c r="A263" s="87"/>
      <c r="B263" s="91"/>
      <c r="C263" s="25"/>
      <c r="D263" s="25"/>
      <c r="E263" s="92"/>
      <c r="F263" s="92"/>
      <c r="G263" s="92"/>
      <c r="H263" s="25"/>
      <c r="I263" s="93"/>
      <c r="J263" s="25"/>
      <c r="K263" s="94"/>
      <c r="L263" s="94"/>
      <c r="M263" s="94"/>
    </row>
    <row r="264" spans="1:13" s="42" customFormat="1" ht="15">
      <c r="A264" s="87"/>
      <c r="B264" s="91"/>
      <c r="C264" s="25"/>
      <c r="D264" s="25"/>
      <c r="E264" s="92"/>
      <c r="F264" s="92"/>
      <c r="G264" s="92"/>
      <c r="H264" s="25"/>
      <c r="I264" s="93"/>
      <c r="J264" s="25"/>
      <c r="K264" s="94"/>
      <c r="L264" s="94"/>
      <c r="M264" s="94"/>
    </row>
    <row r="265" spans="1:13" s="42" customFormat="1" ht="15">
      <c r="A265" s="87"/>
      <c r="B265" s="91"/>
      <c r="C265" s="25"/>
      <c r="D265" s="25"/>
      <c r="E265" s="92"/>
      <c r="F265" s="92"/>
      <c r="G265" s="92"/>
      <c r="H265" s="25"/>
      <c r="I265" s="93"/>
      <c r="J265" s="25"/>
      <c r="K265" s="94"/>
      <c r="L265" s="94"/>
      <c r="M265" s="94"/>
    </row>
    <row r="266" spans="1:13" s="42" customFormat="1" ht="15">
      <c r="A266" s="87"/>
      <c r="B266" s="91"/>
      <c r="C266" s="25"/>
      <c r="D266" s="25"/>
      <c r="E266" s="92"/>
      <c r="F266" s="92"/>
      <c r="G266" s="92"/>
      <c r="H266" s="25"/>
      <c r="I266" s="93"/>
      <c r="J266" s="25"/>
      <c r="K266" s="94"/>
      <c r="L266" s="94"/>
      <c r="M266" s="94"/>
    </row>
    <row r="267" spans="1:13" s="42" customFormat="1" ht="15">
      <c r="A267" s="87"/>
      <c r="B267" s="91"/>
      <c r="C267" s="25"/>
      <c r="D267" s="25"/>
      <c r="E267" s="92"/>
      <c r="F267" s="92"/>
      <c r="G267" s="92"/>
      <c r="H267" s="25"/>
      <c r="I267" s="93"/>
      <c r="J267" s="25"/>
      <c r="K267" s="94"/>
      <c r="L267" s="94"/>
      <c r="M267" s="94"/>
    </row>
    <row r="268" spans="1:13" s="42" customFormat="1" ht="15">
      <c r="A268" s="87"/>
      <c r="B268" s="91"/>
      <c r="C268" s="25"/>
      <c r="D268" s="25"/>
      <c r="E268" s="92"/>
      <c r="F268" s="92"/>
      <c r="G268" s="92"/>
      <c r="H268" s="25"/>
      <c r="I268" s="93"/>
      <c r="J268" s="25"/>
      <c r="K268" s="94"/>
      <c r="L268" s="94"/>
      <c r="M268" s="94"/>
    </row>
    <row r="269" spans="1:13" s="42" customFormat="1" ht="15">
      <c r="A269" s="87"/>
      <c r="B269" s="91"/>
      <c r="C269" s="25"/>
      <c r="D269" s="25"/>
      <c r="E269" s="92"/>
      <c r="F269" s="92"/>
      <c r="G269" s="92"/>
      <c r="H269" s="25"/>
      <c r="I269" s="93"/>
      <c r="J269" s="25"/>
      <c r="K269" s="94"/>
      <c r="L269" s="94"/>
      <c r="M269" s="94"/>
    </row>
    <row r="270" spans="1:13" s="42" customFormat="1" ht="15">
      <c r="A270" s="87"/>
      <c r="B270" s="91"/>
      <c r="C270" s="25"/>
      <c r="D270" s="25"/>
      <c r="E270" s="92"/>
      <c r="F270" s="92"/>
      <c r="G270" s="92"/>
      <c r="H270" s="25"/>
      <c r="I270" s="93"/>
      <c r="J270" s="25"/>
      <c r="K270" s="94"/>
      <c r="L270" s="94"/>
      <c r="M270" s="94"/>
    </row>
    <row r="271" spans="1:13" s="42" customFormat="1" ht="15">
      <c r="A271" s="87"/>
      <c r="B271" s="91"/>
      <c r="C271" s="25"/>
      <c r="D271" s="25"/>
      <c r="E271" s="92"/>
      <c r="F271" s="92"/>
      <c r="G271" s="92"/>
      <c r="H271" s="25"/>
      <c r="I271" s="93"/>
      <c r="J271" s="25"/>
      <c r="K271" s="94"/>
      <c r="L271" s="94"/>
      <c r="M271" s="94"/>
    </row>
    <row r="272" spans="1:13" s="42" customFormat="1" ht="15">
      <c r="A272" s="87"/>
      <c r="B272" s="91"/>
      <c r="C272" s="25"/>
      <c r="D272" s="25"/>
      <c r="E272" s="92"/>
      <c r="F272" s="92"/>
      <c r="G272" s="92"/>
      <c r="H272" s="25"/>
      <c r="I272" s="93"/>
      <c r="J272" s="25"/>
      <c r="K272" s="94"/>
      <c r="L272" s="94"/>
      <c r="M272" s="94"/>
    </row>
    <row r="273" spans="1:13" s="42" customFormat="1" ht="15">
      <c r="A273" s="87"/>
      <c r="B273" s="91"/>
      <c r="C273" s="25"/>
      <c r="D273" s="25"/>
      <c r="E273" s="92"/>
      <c r="F273" s="92"/>
      <c r="G273" s="92"/>
      <c r="H273" s="25"/>
      <c r="I273" s="93"/>
      <c r="J273" s="25"/>
      <c r="K273" s="94"/>
      <c r="L273" s="94"/>
      <c r="M273" s="94"/>
    </row>
    <row r="274" spans="1:13" s="42" customFormat="1" ht="15">
      <c r="A274" s="87"/>
      <c r="B274" s="91"/>
      <c r="C274" s="25"/>
      <c r="D274" s="25"/>
      <c r="E274" s="92"/>
      <c r="F274" s="92"/>
      <c r="G274" s="92"/>
      <c r="H274" s="25"/>
      <c r="I274" s="93"/>
      <c r="J274" s="25"/>
      <c r="K274" s="94"/>
      <c r="L274" s="94"/>
      <c r="M274" s="94"/>
    </row>
    <row r="275" spans="1:13" s="42" customFormat="1" ht="15">
      <c r="A275" s="87"/>
      <c r="B275" s="91"/>
      <c r="C275" s="25"/>
      <c r="D275" s="25"/>
      <c r="E275" s="92"/>
      <c r="F275" s="92"/>
      <c r="G275" s="92"/>
      <c r="H275" s="25"/>
      <c r="I275" s="93"/>
      <c r="J275" s="25"/>
      <c r="K275" s="94"/>
      <c r="L275" s="94"/>
      <c r="M275" s="94"/>
    </row>
    <row r="276" spans="1:13" s="42" customFormat="1" ht="15">
      <c r="A276" s="87"/>
      <c r="B276" s="91"/>
      <c r="C276" s="25"/>
      <c r="D276" s="25"/>
      <c r="E276" s="92"/>
      <c r="F276" s="92"/>
      <c r="G276" s="92"/>
      <c r="H276" s="25"/>
      <c r="I276" s="93"/>
      <c r="J276" s="25"/>
      <c r="K276" s="94"/>
      <c r="L276" s="94"/>
      <c r="M276" s="94"/>
    </row>
    <row r="277" spans="1:13" s="42" customFormat="1" ht="15">
      <c r="A277" s="87"/>
      <c r="B277" s="91"/>
      <c r="C277" s="25"/>
      <c r="D277" s="25"/>
      <c r="E277" s="92"/>
      <c r="F277" s="92"/>
      <c r="G277" s="92"/>
      <c r="H277" s="25"/>
      <c r="I277" s="93"/>
      <c r="J277" s="25"/>
      <c r="K277" s="94"/>
      <c r="L277" s="94"/>
      <c r="M277" s="94"/>
    </row>
    <row r="278" spans="1:13" s="42" customFormat="1" ht="15">
      <c r="A278" s="87"/>
      <c r="B278" s="91"/>
      <c r="C278" s="25"/>
      <c r="D278" s="25"/>
      <c r="E278" s="92"/>
      <c r="F278" s="92"/>
      <c r="G278" s="92"/>
      <c r="H278" s="25"/>
      <c r="I278" s="93"/>
      <c r="J278" s="25"/>
      <c r="K278" s="94"/>
      <c r="L278" s="94"/>
      <c r="M278" s="94"/>
    </row>
    <row r="279" spans="1:13" s="42" customFormat="1" ht="15">
      <c r="A279" s="87"/>
      <c r="B279" s="91"/>
      <c r="C279" s="25"/>
      <c r="D279" s="25"/>
      <c r="E279" s="92"/>
      <c r="F279" s="92"/>
      <c r="G279" s="92"/>
      <c r="H279" s="25"/>
      <c r="I279" s="93"/>
      <c r="J279" s="25"/>
      <c r="K279" s="94"/>
      <c r="L279" s="94"/>
      <c r="M279" s="94"/>
    </row>
    <row r="280" spans="1:13" s="42" customFormat="1" ht="15">
      <c r="A280" s="87"/>
      <c r="B280" s="91"/>
      <c r="C280" s="25"/>
      <c r="D280" s="25"/>
      <c r="E280" s="92"/>
      <c r="F280" s="92"/>
      <c r="G280" s="92"/>
      <c r="H280" s="25"/>
      <c r="I280" s="93"/>
      <c r="J280" s="25"/>
      <c r="K280" s="94"/>
      <c r="L280" s="94"/>
      <c r="M280" s="94"/>
    </row>
    <row r="281" spans="1:13" s="42" customFormat="1" ht="15">
      <c r="A281" s="87"/>
      <c r="B281" s="91"/>
      <c r="C281" s="25"/>
      <c r="D281" s="25"/>
      <c r="E281" s="92"/>
      <c r="F281" s="92"/>
      <c r="G281" s="92"/>
      <c r="H281" s="25"/>
      <c r="I281" s="93"/>
      <c r="J281" s="25"/>
      <c r="K281" s="94"/>
      <c r="L281" s="94"/>
      <c r="M281" s="94"/>
    </row>
    <row r="282" spans="1:13" s="42" customFormat="1" ht="15">
      <c r="A282" s="87"/>
      <c r="B282" s="91"/>
      <c r="C282" s="25"/>
      <c r="D282" s="25"/>
      <c r="E282" s="92"/>
      <c r="F282" s="92"/>
      <c r="G282" s="92"/>
      <c r="H282" s="25"/>
      <c r="I282" s="93"/>
      <c r="J282" s="25"/>
      <c r="K282" s="94"/>
      <c r="L282" s="94"/>
      <c r="M282" s="94"/>
    </row>
    <row r="283" spans="1:13" s="42" customFormat="1" ht="15">
      <c r="A283" s="87"/>
      <c r="B283" s="91"/>
      <c r="C283" s="25"/>
      <c r="D283" s="25"/>
      <c r="E283" s="92"/>
      <c r="F283" s="92"/>
      <c r="G283" s="92"/>
      <c r="H283" s="25"/>
      <c r="I283" s="93"/>
      <c r="J283" s="25"/>
      <c r="K283" s="94"/>
      <c r="L283" s="94"/>
      <c r="M283" s="94"/>
    </row>
    <row r="284" spans="1:13" s="42" customFormat="1" ht="15">
      <c r="A284" s="87"/>
      <c r="B284" s="91"/>
      <c r="C284" s="25"/>
      <c r="D284" s="25"/>
      <c r="E284" s="92"/>
      <c r="F284" s="92"/>
      <c r="G284" s="92"/>
      <c r="H284" s="25"/>
      <c r="I284" s="93"/>
      <c r="J284" s="25"/>
      <c r="K284" s="94"/>
      <c r="L284" s="94"/>
      <c r="M284" s="94"/>
    </row>
    <row r="285" spans="1:13" s="42" customFormat="1" ht="15">
      <c r="A285" s="87"/>
      <c r="B285" s="91"/>
      <c r="C285" s="25"/>
      <c r="D285" s="25"/>
      <c r="E285" s="92"/>
      <c r="F285" s="92"/>
      <c r="G285" s="92"/>
      <c r="H285" s="25"/>
      <c r="I285" s="93"/>
      <c r="J285" s="25"/>
      <c r="K285" s="94"/>
      <c r="L285" s="94"/>
      <c r="M285" s="94"/>
    </row>
    <row r="286" spans="1:13" s="42" customFormat="1" ht="15">
      <c r="A286" s="87"/>
      <c r="B286" s="91"/>
      <c r="C286" s="25"/>
      <c r="D286" s="25"/>
      <c r="E286" s="92"/>
      <c r="F286" s="92"/>
      <c r="G286" s="92"/>
      <c r="H286" s="25"/>
      <c r="I286" s="93"/>
      <c r="J286" s="25"/>
      <c r="K286" s="94"/>
      <c r="L286" s="94"/>
      <c r="M286" s="94"/>
    </row>
    <row r="287" spans="1:13" s="42" customFormat="1" ht="15">
      <c r="A287" s="87"/>
      <c r="B287" s="91"/>
      <c r="C287" s="25"/>
      <c r="D287" s="25"/>
      <c r="E287" s="92"/>
      <c r="F287" s="92"/>
      <c r="G287" s="92"/>
      <c r="H287" s="25"/>
      <c r="I287" s="93"/>
      <c r="J287" s="25"/>
      <c r="K287" s="94"/>
      <c r="L287" s="94"/>
      <c r="M287" s="94"/>
    </row>
    <row r="288" spans="1:13" s="42" customFormat="1" ht="15">
      <c r="A288" s="87"/>
      <c r="B288" s="91"/>
      <c r="C288" s="25"/>
      <c r="D288" s="25"/>
      <c r="E288" s="92"/>
      <c r="F288" s="92"/>
      <c r="G288" s="92"/>
      <c r="H288" s="25"/>
      <c r="I288" s="93"/>
      <c r="J288" s="25"/>
      <c r="K288" s="94"/>
      <c r="L288" s="94"/>
      <c r="M288" s="94"/>
    </row>
    <row r="289" spans="1:13" s="42" customFormat="1" ht="15">
      <c r="A289" s="87"/>
      <c r="B289" s="91"/>
      <c r="C289" s="25"/>
      <c r="D289" s="25"/>
      <c r="E289" s="92"/>
      <c r="F289" s="92"/>
      <c r="G289" s="92"/>
      <c r="H289" s="25"/>
      <c r="I289" s="93"/>
      <c r="J289" s="25"/>
      <c r="K289" s="94"/>
      <c r="L289" s="94"/>
      <c r="M289" s="94"/>
    </row>
    <row r="290" spans="1:13" s="42" customFormat="1" ht="15">
      <c r="A290" s="87"/>
      <c r="B290" s="91"/>
      <c r="C290" s="25"/>
      <c r="D290" s="25"/>
      <c r="E290" s="92"/>
      <c r="F290" s="92"/>
      <c r="G290" s="92"/>
      <c r="H290" s="25"/>
      <c r="I290" s="93"/>
      <c r="J290" s="25"/>
      <c r="K290" s="94"/>
      <c r="L290" s="94"/>
      <c r="M290" s="94"/>
    </row>
    <row r="291" spans="1:13" s="42" customFormat="1" ht="15">
      <c r="A291" s="87"/>
      <c r="B291" s="91"/>
      <c r="C291" s="25"/>
      <c r="D291" s="25"/>
      <c r="E291" s="92"/>
      <c r="F291" s="92"/>
      <c r="G291" s="92"/>
      <c r="H291" s="25"/>
      <c r="I291" s="93"/>
      <c r="J291" s="25"/>
      <c r="K291" s="94"/>
      <c r="L291" s="94"/>
      <c r="M291" s="94"/>
    </row>
    <row r="292" spans="1:13" s="42" customFormat="1" ht="15">
      <c r="A292" s="87"/>
      <c r="B292" s="91"/>
      <c r="C292" s="25"/>
      <c r="D292" s="25"/>
      <c r="E292" s="92"/>
      <c r="F292" s="92"/>
      <c r="G292" s="92"/>
      <c r="H292" s="25"/>
      <c r="I292" s="93"/>
      <c r="J292" s="25"/>
      <c r="K292" s="94"/>
      <c r="L292" s="94"/>
      <c r="M292" s="94"/>
    </row>
    <row r="293" spans="1:13" s="42" customFormat="1" ht="15">
      <c r="A293" s="87"/>
      <c r="B293" s="91"/>
      <c r="C293" s="25"/>
      <c r="D293" s="25"/>
      <c r="E293" s="92"/>
      <c r="F293" s="92"/>
      <c r="G293" s="92"/>
      <c r="H293" s="25"/>
      <c r="I293" s="93"/>
      <c r="J293" s="25"/>
      <c r="K293" s="94"/>
      <c r="L293" s="94"/>
      <c r="M293" s="94"/>
    </row>
  </sheetData>
  <printOptions/>
  <pageMargins left="0.33" right="0.1968503937007874" top="0.37" bottom="0.41" header="0.69" footer="0.26"/>
  <pageSetup horizontalDpi="600" verticalDpi="600" orientation="portrait" paperSize="9" scale="70" r:id="rId3"/>
  <headerFooter alignWithMargins="0">
    <oddFooter>&amp;R&amp;P</oddFooter>
  </headerFooter>
  <rowBreaks count="1" manualBreakCount="1">
    <brk id="22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shurygina</dc:creator>
  <cp:keywords/>
  <dc:description/>
  <cp:lastModifiedBy>Sidorenko</cp:lastModifiedBy>
  <dcterms:created xsi:type="dcterms:W3CDTF">2006-11-14T06:02:28Z</dcterms:created>
  <dcterms:modified xsi:type="dcterms:W3CDTF">2006-11-15T07:37:56Z</dcterms:modified>
  <cp:category/>
  <cp:version/>
  <cp:contentType/>
  <cp:contentStatus/>
</cp:coreProperties>
</file>