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2120" windowHeight="8640" tabRatio="650" firstSheet="14" activeTab="15"/>
  </bookViews>
  <sheets>
    <sheet name="1.1дош" sheetId="1" r:id="rId1"/>
    <sheet name="1.2 студ" sheetId="2" r:id="rId2"/>
    <sheet name="1.3 шк" sheetId="3" r:id="rId3"/>
    <sheet name="1.4 спарт.шк" sheetId="4" r:id="rId4"/>
    <sheet name="1.5 гор.спар.допр" sheetId="5" r:id="rId5"/>
    <sheet name="1.6 выезд.спар.допр" sheetId="6" r:id="rId6"/>
    <sheet name="1.7 ЖЭУ" sheetId="7" r:id="rId7"/>
    <sheet name="1.8 озд.лагеря" sheetId="8" r:id="rId8"/>
    <sheet name="2.1 инв" sheetId="9" r:id="rId9"/>
    <sheet name="2.2 г.орг" sheetId="10" r:id="rId10"/>
    <sheet name="2.3 метод." sheetId="11" r:id="rId11"/>
    <sheet name="3.1 УТС" sheetId="12" r:id="rId12"/>
    <sheet name="3.2 всер.тур" sheetId="13" r:id="rId13"/>
    <sheet name="3.3 перв." sheetId="14" r:id="rId14"/>
    <sheet name="3.4 спорт.гор" sheetId="15" r:id="rId15"/>
    <sheet name="4.1 спорт выезд" sheetId="16" r:id="rId16"/>
    <sheet name="4.2 мед.обесп" sheetId="17" r:id="rId17"/>
    <sheet name="5 ком.клуб" sheetId="18" r:id="rId18"/>
    <sheet name="6 штат" sheetId="19" r:id="rId19"/>
    <sheet name="7.1 инф" sheetId="20" r:id="rId20"/>
    <sheet name="7.2 грамот" sheetId="21" r:id="rId21"/>
    <sheet name="8 спортинв" sheetId="22" r:id="rId22"/>
    <sheet name="Мат.техн.база " sheetId="23" r:id="rId23"/>
    <sheet name="Св.кал. пр 2" sheetId="24" r:id="rId24"/>
    <sheet name="ПРИЛ №3" sheetId="25" r:id="rId25"/>
    <sheet name="СВОДНАЯ" sheetId="26" r:id="rId26"/>
    <sheet name="Фин.по разд" sheetId="27" r:id="rId27"/>
    <sheet name="Календарь" sheetId="28" r:id="rId28"/>
    <sheet name="ст.кв." sheetId="29" r:id="rId29"/>
    <sheet name="Поясн" sheetId="30" r:id="rId30"/>
  </sheets>
  <definedNames>
    <definedName name="_xlnm.Print_Titles" localSheetId="1">'1.2 студ'!$3:$6</definedName>
    <definedName name="_xlnm.Print_Titles" localSheetId="2">'1.3 шк'!$2:$5</definedName>
    <definedName name="_xlnm.Print_Titles" localSheetId="6">'1.7 ЖЭУ'!$2:$5</definedName>
    <definedName name="_xlnm.Print_Titles" localSheetId="8">'2.1 инв'!$3:$6</definedName>
    <definedName name="_xlnm.Print_Titles" localSheetId="9">'2.2 г.орг'!$1:$5</definedName>
    <definedName name="_xlnm.Print_Titles" localSheetId="11">'3.1 УТС'!$4:$7</definedName>
    <definedName name="_xlnm.Print_Titles" localSheetId="12">'3.2 всер.тур'!$1:$5</definedName>
    <definedName name="_xlnm.Print_Titles" localSheetId="13">'3.3 перв.'!$2:$5</definedName>
    <definedName name="_xlnm.Print_Titles" localSheetId="14">'3.4 спорт.гор'!$2:$5</definedName>
    <definedName name="_xlnm.Print_Titles" localSheetId="15">'4.1 спорт выезд'!$5:$8</definedName>
    <definedName name="_xlnm.Print_Titles" localSheetId="16">'4.2 мед.обесп'!$1:$5</definedName>
    <definedName name="_xlnm.Print_Titles" localSheetId="19">'7.1 инф'!$4:$6</definedName>
    <definedName name="_xlnm.Print_Titles" localSheetId="24">'ПРИЛ №3'!$4:$7</definedName>
    <definedName name="_xlnm.Print_Titles" localSheetId="23">'Св.кал. пр 2'!$4:$6</definedName>
    <definedName name="_xlnm.Print_Area" localSheetId="0">'1.1дош'!$A$1:$M$27</definedName>
    <definedName name="_xlnm.Print_Area" localSheetId="1">'1.2 студ'!$A$1:$N$29</definedName>
    <definedName name="_xlnm.Print_Area" localSheetId="2">'1.3 шк'!$A$1:$N$52</definedName>
    <definedName name="_xlnm.Print_Area" localSheetId="3">'1.4 спарт.шк'!$A$1:$Q$29</definedName>
    <definedName name="_xlnm.Print_Area" localSheetId="4">'1.5 гор.спар.допр'!$A$1:$O$24</definedName>
    <definedName name="_xlnm.Print_Area" localSheetId="5">'1.6 выезд.спар.допр'!$A$1:$P$22</definedName>
    <definedName name="_xlnm.Print_Area" localSheetId="6">'1.7 ЖЭУ'!$A$1:$O$33</definedName>
    <definedName name="_xlnm.Print_Area" localSheetId="7">'1.8 озд.лагеря'!$A$1:$L$19</definedName>
    <definedName name="_xlnm.Print_Area" localSheetId="8">'2.1 инв'!$A$1:$M$38</definedName>
    <definedName name="_xlnm.Print_Area" localSheetId="9">'2.2 г.орг'!$A$1:$S$226</definedName>
    <definedName name="_xlnm.Print_Area" localSheetId="10">'2.3 метод.'!$A$1:$J$19</definedName>
    <definedName name="_xlnm.Print_Area" localSheetId="11">'3.1 УТС'!$A$1:$I$67</definedName>
    <definedName name="_xlnm.Print_Area" localSheetId="12">'3.2 всер.тур'!$A$1:$Q$29</definedName>
    <definedName name="_xlnm.Print_Area" localSheetId="13">'3.3 перв.'!$A$1:$R$69</definedName>
    <definedName name="_xlnm.Print_Area" localSheetId="14">'3.4 спорт.гор'!$A$1:$Q$32</definedName>
    <definedName name="_xlnm.Print_Area" localSheetId="15">'4.1 спорт выезд'!$A$1:$U$218</definedName>
    <definedName name="_xlnm.Print_Area" localSheetId="16">'4.2 мед.обесп'!$A$1:$G$29</definedName>
    <definedName name="_xlnm.Print_Area" localSheetId="17">'5 ком.клуб'!$A$1:$I$19</definedName>
    <definedName name="_xlnm.Print_Area" localSheetId="18">'6 штат'!$A$1:$M$22</definedName>
    <definedName name="_xlnm.Print_Area" localSheetId="19">'7.1 инф'!$A$1:$I$33</definedName>
    <definedName name="_xlnm.Print_Area" localSheetId="20">'7.2 грамот'!$A$1:$H$28</definedName>
    <definedName name="_xlnm.Print_Area" localSheetId="27">'Календарь'!$A$3:$K$677</definedName>
    <definedName name="_xlnm.Print_Area" localSheetId="22">'Мат.техн.база '!$A$1:$M$379</definedName>
    <definedName name="_xlnm.Print_Area" localSheetId="24">'ПРИЛ №3'!$A$1:$G$427</definedName>
    <definedName name="_xlnm.Print_Area" localSheetId="25">'СВОДНАЯ'!$A$1:$R$35</definedName>
  </definedNames>
  <calcPr fullCalcOnLoad="1" fullPrecision="0"/>
</workbook>
</file>

<file path=xl/sharedStrings.xml><?xml version="1.0" encoding="utf-8"?>
<sst xmlns="http://schemas.openxmlformats.org/spreadsheetml/2006/main" count="6339" uniqueCount="1927">
  <si>
    <t>Проведение учебно-тренировочных сборов к Всероссийским турнирам, атомиаде, областным соревнованиям, чемпионатам и первенствам России</t>
  </si>
  <si>
    <t>Всероссийский турнир по боксу, посвященный памяти Путина</t>
  </si>
  <si>
    <t>(зимнее многоборье)</t>
  </si>
  <si>
    <t>февр</t>
  </si>
  <si>
    <t>Спорт-танцы ЧР,ЧС г.Иркутск</t>
  </si>
  <si>
    <t>Первенство по активным шахматам</t>
  </si>
  <si>
    <t>Спорт.форма р/лапта (юн.,дев.)</t>
  </si>
  <si>
    <t>20комп. х 550р.</t>
  </si>
  <si>
    <t>Гетры</t>
  </si>
  <si>
    <t>Наколенники</t>
  </si>
  <si>
    <t>Мяч для б/тенниса</t>
  </si>
  <si>
    <t>Майка+трусы л/а (комбинезон)</t>
  </si>
  <si>
    <t>Шиповки беговые</t>
  </si>
  <si>
    <t>2шт. х 1000р.</t>
  </si>
  <si>
    <t>6пар х500р.</t>
  </si>
  <si>
    <t>4пары х 600р.</t>
  </si>
  <si>
    <t>флаги.стяги 20штх100</t>
  </si>
  <si>
    <t>1комп. х 10пар х 500р.</t>
  </si>
  <si>
    <t>15шт х200р.</t>
  </si>
  <si>
    <t>2 комп. Х 1000р.</t>
  </si>
  <si>
    <t>5 пар х 1100р.</t>
  </si>
  <si>
    <t xml:space="preserve">Материальное обеспечение </t>
  </si>
  <si>
    <t xml:space="preserve"> ведущ. Спортсм. ЗАТО Северск</t>
  </si>
  <si>
    <t>Соревнование по водному туризму</t>
  </si>
  <si>
    <t>Первенство по футболу 1,2 группы</t>
  </si>
  <si>
    <t>Городской слет туристов</t>
  </si>
  <si>
    <t>соревнованиям, чемпионатам и первенствам России</t>
  </si>
  <si>
    <t>"Северск - спортивный за 2006год"</t>
  </si>
  <si>
    <t>спорт.мероприятий на 2006 г. по разделам</t>
  </si>
  <si>
    <t>Люминесцентные лампы (ЛБ-40-2)</t>
  </si>
  <si>
    <t>Сварка линолеума</t>
  </si>
  <si>
    <t>Половая тряпка</t>
  </si>
  <si>
    <t>Мыло</t>
  </si>
  <si>
    <t>Чистящее средство</t>
  </si>
  <si>
    <t>Туалетная бумага</t>
  </si>
  <si>
    <t>Текущий ремонт сан.технического оборудования</t>
  </si>
  <si>
    <t>Ремонт стульев, кабинок,обрешетки стен</t>
  </si>
  <si>
    <t>Веник</t>
  </si>
  <si>
    <t>Н/теннис  День физкультурника</t>
  </si>
  <si>
    <t>Лыжи. Вкатывание, УТС.Тейя</t>
  </si>
  <si>
    <t>Спортивный инвентарь для сборных команд г.Северска приобретается согласно нормативов</t>
  </si>
  <si>
    <t>Закрытие сезона по конькобежному спорту</t>
  </si>
  <si>
    <t>УТС к чемпионату РФ по тяжелой атлетике</t>
  </si>
  <si>
    <t>УТС к первенству СФО по борьбе дзюдо</t>
  </si>
  <si>
    <t>1.4 Подготовка и участие сборных команд ЗАТО Северск в финальных соревнованиях, областных спартакиадах школьников и студентов</t>
  </si>
  <si>
    <t>1.5 Проведение спартакиады допризывной молодежи ЗАТО Северск</t>
  </si>
  <si>
    <t>1.6 Участие и подготовка сборной команды ЗАТО Северск к областной спартакиаде допризывной молодежи</t>
  </si>
  <si>
    <t>1.7 Организация и проведение физкультурно-массовой работы по месту жительства</t>
  </si>
  <si>
    <t>Анапа</t>
  </si>
  <si>
    <t>Всероссийский турнир по пулевой стрельбе на приз Коцюбинского г.Новокузнецк</t>
  </si>
  <si>
    <t>Спорт. танцы ЧР,ЧС  г.Иркутск</t>
  </si>
  <si>
    <t>р.Козыр</t>
  </si>
  <si>
    <t>Всероссийский турнир по тяжелой атлетике г.Сургут</t>
  </si>
  <si>
    <t>Плавание.Зона Сибири г.Омск</t>
  </si>
  <si>
    <t>Открытое первенство Алтайского края по настольному теннису г.Барнаул</t>
  </si>
  <si>
    <t xml:space="preserve">Осенний легкоатлетический кросс </t>
  </si>
  <si>
    <t>ВСЕГО:</t>
  </si>
  <si>
    <t>Осенний легкоатлетический кросс п.Самусь</t>
  </si>
  <si>
    <t>Л/а. Соревнования Русская зима. Москва</t>
  </si>
  <si>
    <t xml:space="preserve"> АТОМИАДА СИБИРИ</t>
  </si>
  <si>
    <t xml:space="preserve"> АТОМИАДА.  Финал.</t>
  </si>
  <si>
    <t>Б/самбо УТС к первенству Европы</t>
  </si>
  <si>
    <t>Л/а. Кубок РФ. Многоборье. Сочи</t>
  </si>
  <si>
    <t>Пул.стрельба.Т-р Котенёва Новосибирск</t>
  </si>
  <si>
    <t>Зимнний спортивный Фестиваль "Зеленый мыс" (лыжи, шаш.,м/ф,  дартс, арм., н/т)</t>
  </si>
  <si>
    <t>аренда л/б 400х20р.= 8000р.</t>
  </si>
  <si>
    <t>Исполн. Гайдаенко Н.В. т.54-11-04</t>
  </si>
  <si>
    <t>Исполн. Гайдаенко Н.В. т. 54-11-04</t>
  </si>
  <si>
    <t>Исполнит</t>
  </si>
  <si>
    <t>стоим.1дн</t>
  </si>
  <si>
    <t>ФБ</t>
  </si>
  <si>
    <t>ВФ</t>
  </si>
  <si>
    <t>4.1.Подготовка и выступления сборных команд ЗАТО Северск по видам спорта в областных, всероссийских и международных соревнованиях</t>
  </si>
  <si>
    <t>В/б (юн.дев.) Первенство школ</t>
  </si>
  <si>
    <t>Мини-футбол Первенство школ</t>
  </si>
  <si>
    <t>КФКиС, ДСШ "Юность"</t>
  </si>
  <si>
    <t>Плавание. Первенство школ</t>
  </si>
  <si>
    <t>Чебоксары</t>
  </si>
  <si>
    <t>Открытое первенство по спортивным бальным танцам</t>
  </si>
  <si>
    <t>Первенство по городошному спорту</t>
  </si>
  <si>
    <t>Открытое первенство по пулевой стрельбе</t>
  </si>
  <si>
    <t>Первенство по боксу</t>
  </si>
  <si>
    <t>Открытое первенство по каратэ</t>
  </si>
  <si>
    <t>афиша 120шт.х40р.=480р.</t>
  </si>
  <si>
    <t>Парус.спорт. Матч.встреча. Железногорск</t>
  </si>
  <si>
    <t>К целевой  Программе по физической культуре и спорту " Спортивный город" на 2007 год</t>
  </si>
  <si>
    <t>К целевой Программе по физической культуре и спорту " Спортивный город" на 2007 год</t>
  </si>
  <si>
    <t xml:space="preserve">  К целевой Программе по физической культуре и спорту " Спортивный город" на 2007 год</t>
  </si>
  <si>
    <t>УТС к турниру памяти Путина по боксу</t>
  </si>
  <si>
    <t>УТС к турниру М.Октябрьской по художественной гимнастике</t>
  </si>
  <si>
    <t>УТС к чемпионату и первенству СФО по борьбе самбо</t>
  </si>
  <si>
    <t>вымпела, афиши -12000р.</t>
  </si>
  <si>
    <t>Плавание.Первенство РФ. Волгоград</t>
  </si>
  <si>
    <t>Первенство РФ по плаванию. г.Волгоград</t>
  </si>
  <si>
    <t>Первенство РФ по плаванию г.Волгоград</t>
  </si>
  <si>
    <t>Б/гр.римск. Всерос.т-р Кишицкого. Новокузнецк</t>
  </si>
  <si>
    <t>УТС к чемпионату РФ по борьбе дзюдо г.Красноярск</t>
  </si>
  <si>
    <t>Всероссиский турнир Вырупаева по греко-римской борьбе г.Новосибирск</t>
  </si>
  <si>
    <t>Всероссиский турнир Пименова по борьбе дзюдо г.Новосибирск</t>
  </si>
  <si>
    <t>Биатлон.УТС. г.Геленджик, Грушецкая</t>
  </si>
  <si>
    <t>Всероссийский турнир Курынова по тяжелой атлетике г.Казань</t>
  </si>
  <si>
    <t>Лапта. Первенство Сибири. г.Омск</t>
  </si>
  <si>
    <t>Всероссийский турнир Нестеренко по греко-римской борьбе г.Новосибирск</t>
  </si>
  <si>
    <t>Кубок Губернатора по баскетболу</t>
  </si>
  <si>
    <t>Товарищеская встреча Томск-Северск по волейболу среди инвалидов</t>
  </si>
  <si>
    <t>3.4. Проведение спортивно-массовых мероприятий в ЗАТО Северск</t>
  </si>
  <si>
    <t>Услуги автотранспорта на спортивные мероприятия, проводимые в г.Томске (награждение по итогам проведения областного смотра-конкурса "Спортивная элита года", награждение ф.актива, ветеранов спорта, профессиональных работников в честь Дня физкультурника, участие в параде на Дне физкультурника)</t>
  </si>
  <si>
    <t>УТС к первенству РФ по плаванию среди юниоров г. Пермь</t>
  </si>
  <si>
    <t>м/з</t>
  </si>
  <si>
    <t>2.1 Проведение физкультурно-оздоровительной работы  и организация учебно-тренировочных занятий с инвалидами</t>
  </si>
  <si>
    <t>Изготовление наградного материала: грамот, дипломов, вымпелов</t>
  </si>
  <si>
    <t>Пул.стрельба. посв. Дню Защитника Отечества</t>
  </si>
  <si>
    <t>УТС к чемпионату Сибири по боксу</t>
  </si>
  <si>
    <t>УТС к турниру Афанасьева по борьбе греко-римской</t>
  </si>
  <si>
    <t>УТС к первенству РФ по гиревому спорту</t>
  </si>
  <si>
    <t>УТС к кубку РФ по конькобежному спорту</t>
  </si>
  <si>
    <t>Теннис</t>
  </si>
  <si>
    <t>Консультации специалистов</t>
  </si>
  <si>
    <t>Таблица 18</t>
  </si>
  <si>
    <t>Местн.бюдж</t>
  </si>
  <si>
    <t>Местн.бюдж.</t>
  </si>
  <si>
    <t>Таблица 20</t>
  </si>
  <si>
    <t>Таблица 21</t>
  </si>
  <si>
    <t>карандаши 20шт х 1р</t>
  </si>
  <si>
    <t>кнопки 4кор х 12р</t>
  </si>
  <si>
    <t>ватман 10лист х 12р</t>
  </si>
  <si>
    <t>скотч 2шт х 20р</t>
  </si>
  <si>
    <t>Этап кубка России по конькобежному спорту г.Иркутск</t>
  </si>
  <si>
    <t>Чемпионат и первенство ВСРФ по художественной гимнастике (отбор к всероссийскому турниру) г.Москва</t>
  </si>
  <si>
    <t>Первенство Томской области по баскетболу</t>
  </si>
  <si>
    <t>КФКиС, ДСШ "Смена"</t>
  </si>
  <si>
    <t>ДСШ</t>
  </si>
  <si>
    <t>Финальные соревнования школ.б/б Томск</t>
  </si>
  <si>
    <t xml:space="preserve">Итого </t>
  </si>
  <si>
    <t>в месяц</t>
  </si>
  <si>
    <t>Нижний-Новгород</t>
  </si>
  <si>
    <t>год</t>
  </si>
  <si>
    <t>Стоимость</t>
  </si>
  <si>
    <t>Сентябрь</t>
  </si>
  <si>
    <t>Октябрь</t>
  </si>
  <si>
    <t>Ноябрь</t>
  </si>
  <si>
    <t>Декабрь</t>
  </si>
  <si>
    <t>7.2 по работе со сборными командами</t>
  </si>
  <si>
    <t>Первенство и чемпионат Томской области по гиревому спорту</t>
  </si>
  <si>
    <t>Теннис. Открытое перв-во</t>
  </si>
  <si>
    <t>Теннис. Открытое первенство ЗАТО Северск</t>
  </si>
  <si>
    <t>Пауэрлифтинг.Первенство РФ. г.Владимир</t>
  </si>
  <si>
    <t>Пауэрлифтинг.Кубок РФ</t>
  </si>
  <si>
    <t>г.Казань</t>
  </si>
  <si>
    <t>Биатлон.УТС Геленджик,</t>
  </si>
  <si>
    <t>Грушецкая</t>
  </si>
  <si>
    <t>Спортивный праздник "День здоровья" среди коллективов физкультуры Администрации</t>
  </si>
  <si>
    <t>Изготовление фотографий для фотомонтажей</t>
  </si>
  <si>
    <t>проезд 500р.х2чел.х2=2000р., пит.100р.х2чел.х6дн.=1200р.</t>
  </si>
  <si>
    <t>Пул.стрельба. Ветеран. Т-р Шромова</t>
  </si>
  <si>
    <t>ВСК"Долг".Фестиваль АОСК. г.Томск</t>
  </si>
  <si>
    <t xml:space="preserve">рекл </t>
  </si>
  <si>
    <t>спортинвентаря для работы с общеобразовательными школами, ВУЗами, СУЗами</t>
  </si>
  <si>
    <t>стартовый взнос - 900р.</t>
  </si>
  <si>
    <t>Л/а.Мемор.братьев Знаменских. Казань</t>
  </si>
  <si>
    <t>Кубок ВС РФ по художественной гимнастике г.Москва</t>
  </si>
  <si>
    <t>I.ФИЗКУЛЬТУРНО-ОЗДОРОВИТЕЛЬНАЯ И СПОРТИВНАЯ РАБОТА СРЕДИ ДЕТЕЙ ПОДРОСТКОВ МОЛОДЕЖИ</t>
  </si>
  <si>
    <t xml:space="preserve">Повышение спортивного мастерства, подготовка спортивного резерва в сборные команды города, области, России. Выполнение требований единой всероссийской классификации. Усовершенствование системы подготовки к чемпионатам области, атомиадам, всероссийским соревнованиям. </t>
  </si>
  <si>
    <t xml:space="preserve"> -"-</t>
  </si>
  <si>
    <t>Чемпионат РФ по спортивным бальным танцам г.Москва</t>
  </si>
  <si>
    <t>Спорт.праздник ЦДР</t>
  </si>
  <si>
    <t xml:space="preserve">Спартакиада руковод.раб-в </t>
  </si>
  <si>
    <t>спортивного инвентаря по проведению годовой спартакиады</t>
  </si>
  <si>
    <t>городских предприятий, учреждений</t>
  </si>
  <si>
    <t>Мяч в/б</t>
  </si>
  <si>
    <t>Самусь хоккей встреча ветеранов</t>
  </si>
  <si>
    <t>1.8 Проведение физкультурно-массовых мероприятий в оздоровительных лагерях</t>
  </si>
  <si>
    <t>Спарт.руков.работ. СХК. город</t>
  </si>
  <si>
    <t>Спортивный праздник "День физкультурника" награждение</t>
  </si>
  <si>
    <t>День физкультурника 7 видов</t>
  </si>
  <si>
    <t xml:space="preserve"> День города 7 видов</t>
  </si>
  <si>
    <t>Первенство п Самусьпо настольному теннису</t>
  </si>
  <si>
    <t xml:space="preserve">Классификационный турнир по шахматам  </t>
  </si>
  <si>
    <t>Приобретение спортивного инвентаря для клуба СПАСАТЕЛЬ</t>
  </si>
  <si>
    <t>Каска пожарная</t>
  </si>
  <si>
    <t>Б/гр.рим.Турнир Слепцова</t>
  </si>
  <si>
    <t>Дельтапланеризм</t>
  </si>
  <si>
    <t xml:space="preserve">клубов (состав 10 человек х 10 дет.клубов ЖЭУ) для участия в финальных соревнованиях городской спартакиады, </t>
  </si>
  <si>
    <t>так как согласно правилам соревнований у участников должна быть единая спортивная форма.</t>
  </si>
  <si>
    <t xml:space="preserve">Спортинвентарь для общеобразовательных школ, вузов, сузов необходим для проведения двух городских </t>
  </si>
  <si>
    <t xml:space="preserve">соревнований, посвященных Международному женскому дню 8 Марта и Дню Защитников Отечества 23 февраля, </t>
  </si>
  <si>
    <t xml:space="preserve">также для привлечения подростков вузов и сузов к постоянным занятиям спортом, участию в городской </t>
  </si>
  <si>
    <t>Спартакиаде городских организаций и предприятий по 15 видам спорта.</t>
  </si>
  <si>
    <t xml:space="preserve">Норма расходов канцеляр.товаров на проведение </t>
  </si>
  <si>
    <t>ИТОГО канц.товаров</t>
  </si>
  <si>
    <t xml:space="preserve">                бухгалтерия   т. 2-38-06</t>
  </si>
  <si>
    <t>7.1 по работе со школьниками</t>
  </si>
  <si>
    <t>Мячи футбольные</t>
  </si>
  <si>
    <t>Мячи волейбольные</t>
  </si>
  <si>
    <t>Абакан</t>
  </si>
  <si>
    <t>автобус х 12 час х 300 р=3600р</t>
  </si>
  <si>
    <t>900р-стартовый взнос</t>
  </si>
  <si>
    <t>Л/а.Чемпионат Кузбаса</t>
  </si>
  <si>
    <t>стол н/т</t>
  </si>
  <si>
    <t>цв.бумага, картон</t>
  </si>
  <si>
    <t>Спортивный праздник, посвященный Международному дню студентов, Всероссийский день призывника - СГТА, СПК, в/ч, ПУ-10, ПУ-32</t>
  </si>
  <si>
    <t>Спортивный праздник на призы Деда Мороза, День конституции РФ - СГТА, СПК, в/ч, ПУ-10, ПУ-32</t>
  </si>
  <si>
    <t>КФКиС, СГТА СПК, в/ч, ПУ-10, ПУ-32</t>
  </si>
  <si>
    <t>3.3</t>
  </si>
  <si>
    <t>3.4</t>
  </si>
  <si>
    <t>4.1</t>
  </si>
  <si>
    <t>4.2</t>
  </si>
  <si>
    <t>6.1</t>
  </si>
  <si>
    <t>7.1</t>
  </si>
  <si>
    <t>8.1</t>
  </si>
  <si>
    <t>8.2</t>
  </si>
  <si>
    <t>Всероссийский турнир Чернышова по греко-римской борьбе г.Красноярск</t>
  </si>
  <si>
    <t>Стоимость услуг</t>
  </si>
  <si>
    <t>Шашки. Первенство жен.ком</t>
  </si>
  <si>
    <t>Шахматы.Кубок гл. Администрации</t>
  </si>
  <si>
    <t>изгот.25вымп. х 40</t>
  </si>
  <si>
    <t>гравировка 300</t>
  </si>
  <si>
    <t>Шахматы Первенство  Финал</t>
  </si>
  <si>
    <t>обсчет рейтинга 40х 150</t>
  </si>
  <si>
    <t>аренда 28игр х 2 часх 2000</t>
  </si>
  <si>
    <t>аренда 6игр х 2 часх 2000</t>
  </si>
  <si>
    <t>аренда 6 ирг х 2 часа х2000р</t>
  </si>
  <si>
    <t>Хоккей Дню защитн.Отеч</t>
  </si>
  <si>
    <t xml:space="preserve"> Хоккей  Закр. сез. хоккей</t>
  </si>
  <si>
    <t xml:space="preserve">Аэробика. Открытое первенство среди взрослых и детских команд  </t>
  </si>
  <si>
    <t>День города Баскетбол</t>
  </si>
  <si>
    <t>День города Дуатлон</t>
  </si>
  <si>
    <t>День города.показ. Водные лыжи.</t>
  </si>
  <si>
    <t>Дню города Служ.собаков.Откр.перв.</t>
  </si>
  <si>
    <t>.День молодежи Парусный спорт</t>
  </si>
  <si>
    <t xml:space="preserve">Автотр </t>
  </si>
  <si>
    <t>ст  340</t>
  </si>
  <si>
    <t>ст 222</t>
  </si>
  <si>
    <t>мат.</t>
  </si>
  <si>
    <t>зап.</t>
  </si>
  <si>
    <t>Кол.ч.</t>
  </si>
  <si>
    <t>Кол.дн</t>
  </si>
  <si>
    <t>Ст.1дн</t>
  </si>
  <si>
    <t>Мяч б/б</t>
  </si>
  <si>
    <t>Мяч ф/б</t>
  </si>
  <si>
    <t>Комп. н/т</t>
  </si>
  <si>
    <t>Сетка б/б</t>
  </si>
  <si>
    <t>Сетка в/б</t>
  </si>
  <si>
    <t>Форма ф/б</t>
  </si>
  <si>
    <t>Форма в/б</t>
  </si>
  <si>
    <t>Стол н/т</t>
  </si>
  <si>
    <t>Шары н/т</t>
  </si>
  <si>
    <t>Медикаменты</t>
  </si>
  <si>
    <t xml:space="preserve">спортивного инвентаря для организации и проведения </t>
  </si>
  <si>
    <t>Мяч в/в</t>
  </si>
  <si>
    <t>Канат 30м</t>
  </si>
  <si>
    <t>Сетка ф/б</t>
  </si>
  <si>
    <t>Парусн.сп.Матч.встр.Северск-Железногорск</t>
  </si>
  <si>
    <t>ИТОГО ЗА ГОД по ставкам</t>
  </si>
  <si>
    <t>Чемпионат и первенство Томской области по борьбе самбо</t>
  </si>
  <si>
    <t>аренда помещ. 180ч.х50р.=9000р</t>
  </si>
  <si>
    <t>аренда аппар. 10ч.х300р.=3000р.</t>
  </si>
  <si>
    <t>Самбо. УТС Бородин</t>
  </si>
  <si>
    <t>плакаты, грамоты, дипломы, вымпела, календари, пригласит.,программки - 22000р.</t>
  </si>
  <si>
    <t>автоб.10ч.х 300р=3000р.</t>
  </si>
  <si>
    <t>Б/гр.римск.Всерос.турнир Олейника</t>
  </si>
  <si>
    <t>Конференция по конькам г.Омск</t>
  </si>
  <si>
    <t>Конференция по лыжам</t>
  </si>
  <si>
    <t>Кубок России, Первенство Сибири по картингу  г.Зеленогорск</t>
  </si>
  <si>
    <t>обслуживающий персонал</t>
  </si>
  <si>
    <t>ВСЕГО</t>
  </si>
  <si>
    <t>Шахматы.Чемпионат Сибири</t>
  </si>
  <si>
    <t>ВСК"Долг".Военизированный кросс.г.Томск</t>
  </si>
  <si>
    <t>Бокс.Всерос.турнир Гаргаджия</t>
  </si>
  <si>
    <t>Бокс.Всерос.турнир Куюкова</t>
  </si>
  <si>
    <t>г.Сочи</t>
  </si>
  <si>
    <t>Лыжные гонки. Закрытие лыжного сезона</t>
  </si>
  <si>
    <t>КФКиС, в/ч 3478</t>
  </si>
  <si>
    <t>Всероссийский турнир Куюкова по боксу г.Междуреченск</t>
  </si>
  <si>
    <t>Первенство РФ многоборье по кинологическому спорту г.Москва</t>
  </si>
  <si>
    <t>Кубок России по конькобежному спорту г.Дивногорск</t>
  </si>
  <si>
    <t>УТС к чемпионату РФ по спортивной гимнастике г.Ленинск-Кузнецкий</t>
  </si>
  <si>
    <t>Спорт.праздник посвящ.</t>
  </si>
  <si>
    <t>Первенство по мини-футболу 2 группа</t>
  </si>
  <si>
    <t>Полуфинал чемпионата по шахматам</t>
  </si>
  <si>
    <t>Конференция по боксу. Новосибирск</t>
  </si>
  <si>
    <t>Лыжные гонки.Памяти В.Смирнова</t>
  </si>
  <si>
    <t>с/к"Юпитер"</t>
  </si>
  <si>
    <t>КФКиС,с/к"Химик"</t>
  </si>
  <si>
    <t>с/к"Юпитер",</t>
  </si>
  <si>
    <t>кнопки 2кор х 12р</t>
  </si>
  <si>
    <t>Первенство города среди учащихся школ по настольному теннису</t>
  </si>
  <si>
    <t>Подведение итогов городской Спартакиады школьников</t>
  </si>
  <si>
    <t>Шарики настольного тенниса</t>
  </si>
  <si>
    <t>Коньки.УТС скоростной сбор</t>
  </si>
  <si>
    <t>Плавание.УТС к первенству РФ</t>
  </si>
  <si>
    <t>Владимир</t>
  </si>
  <si>
    <t>Ленинск-Кузнецк</t>
  </si>
  <si>
    <t>Спортивный праздник среди детей Центра детской реабилитации, посвященный Дню защиты детей</t>
  </si>
  <si>
    <t>Спортивный праздник среди детей  Центра детской реабилитации</t>
  </si>
  <si>
    <t>КФКиС, МП УК ЖХ</t>
  </si>
  <si>
    <t>Спортивный праздник "День коммунального работника" среди работников организаций жилищного хозяйства, СВК, КБУ, "Ресурс-7"</t>
  </si>
  <si>
    <t>1.2 Проведение спортивно-массовых мероприятий со студенческой молодежью СГТА, СПК, ПУ и в/ч</t>
  </si>
  <si>
    <t>КФКиС, МУ "Северский музыкальный театр"</t>
  </si>
  <si>
    <t>КФКиС, МОУ "Самусьский лицей"</t>
  </si>
  <si>
    <t>КФКиС,                            МУ "Орловская средняя общеобразовательная школа"</t>
  </si>
  <si>
    <t>КФКиС, ГВК</t>
  </si>
  <si>
    <t>КФКиС, ВСК "Долг"</t>
  </si>
  <si>
    <t>Отраслевые ВСИ "Енисей-2006" среди допризывной молодежи в г. Зеленогорске</t>
  </si>
  <si>
    <t>Укрепление в обществе ценностей физической культуры, спорта. Повышение престижа тренеров, учителей физической культуры, инструкторов</t>
  </si>
  <si>
    <t>Спортивный праздник, посвященный Дню старшего поколения</t>
  </si>
  <si>
    <t>Гири.Открытое первенство города</t>
  </si>
  <si>
    <t xml:space="preserve">Приобретение  инвентаря для обеспечения соревновательного процесса, проведения городских спортивно-массовых мероприятий </t>
  </si>
  <si>
    <t>Л/а. Пробег "Молодежь против</t>
  </si>
  <si>
    <t>ВСК"Долг".Операция Снайпер"</t>
  </si>
  <si>
    <t>Соревнования по лыжным гонкам среди городских организаций и предприятий в зачет спартакиады</t>
  </si>
  <si>
    <t>Аэробика</t>
  </si>
  <si>
    <t>Футбол</t>
  </si>
  <si>
    <t>Медицинское обеспечение</t>
  </si>
  <si>
    <t>Стипендия</t>
  </si>
  <si>
    <t>Лыжи.УТС к турниру Л.Егоровой</t>
  </si>
  <si>
    <t>N п/п</t>
  </si>
  <si>
    <t>Мероприятие</t>
  </si>
  <si>
    <t xml:space="preserve"> </t>
  </si>
  <si>
    <t>представители</t>
  </si>
  <si>
    <t>кол.чел</t>
  </si>
  <si>
    <t>Волейбол</t>
  </si>
  <si>
    <t>В/б. Пер-во гор.муж.2 гр</t>
  </si>
  <si>
    <t>Борьба самбо</t>
  </si>
  <si>
    <t>Картинг Зеленогорск Кубок России</t>
  </si>
  <si>
    <t>Пер-во Сибири</t>
  </si>
  <si>
    <t>КФСиК</t>
  </si>
  <si>
    <t>Чемпионат города по лыжам</t>
  </si>
  <si>
    <t>Осенний легкоатлетический кросс п.Орловка</t>
  </si>
  <si>
    <t xml:space="preserve">Первенство п. Орловка по волейболу среди мужчин и женщин </t>
  </si>
  <si>
    <t>Первенство п.Орловка по волейболу среди мужчин и женщин</t>
  </si>
  <si>
    <t>Пауэрлифтинг</t>
  </si>
  <si>
    <t>сентябрь</t>
  </si>
  <si>
    <t>Итого по 3.2</t>
  </si>
  <si>
    <t>трансп</t>
  </si>
  <si>
    <t>расх</t>
  </si>
  <si>
    <t>Л/а.Рождественские старты.</t>
  </si>
  <si>
    <t>Сп.бальн.танцы.Чемпионат РФ</t>
  </si>
  <si>
    <t>Кинологич.Чемпионат и перв.РФ</t>
  </si>
  <si>
    <t>Н/т.Открытое перв.Новосибирска</t>
  </si>
  <si>
    <t>Б/б.Кубок области.Томск</t>
  </si>
  <si>
    <t>Б/б.Первенство области.Томск</t>
  </si>
  <si>
    <t>Лыжи.Кубок Сибири.Новосибирск</t>
  </si>
  <si>
    <t>Ленинск-Кузнецкий</t>
  </si>
  <si>
    <t>Л/а.Кубок Манежа.Кемерово</t>
  </si>
  <si>
    <t>Л/а.Матчевая встреча городов</t>
  </si>
  <si>
    <t>ПО ФОРМИРОВАНИЮ ЗДОРОВОГО ОБРАЗА ЖИЗНИ</t>
  </si>
  <si>
    <t>ИТОГО:</t>
  </si>
  <si>
    <t>Дню старшего поколения</t>
  </si>
  <si>
    <t>Спорт.празд."День автомоб."</t>
  </si>
  <si>
    <t>Информационная, образовательно-просветительская и рекламная деятельность по формированию здорового образа жизни</t>
  </si>
  <si>
    <t>с детскими клубами по месту жительства</t>
  </si>
  <si>
    <t>формы для сборных команд г.Северска, участвующих в</t>
  </si>
  <si>
    <t>Спорт.форма футбольная</t>
  </si>
  <si>
    <t>Л/а.Пробег памяти Удута.Томск</t>
  </si>
  <si>
    <t>Л/а.Открытый чемпионат.Томск</t>
  </si>
  <si>
    <t>Туризм.Скалолаз.Соревнования</t>
  </si>
  <si>
    <t>КФКиС, федер.сл.соб</t>
  </si>
  <si>
    <t>Бокс.Всерос.турнир Кудрина</t>
  </si>
  <si>
    <t>Состав ком</t>
  </si>
  <si>
    <t>Провод.орг</t>
  </si>
  <si>
    <t>провед</t>
  </si>
  <si>
    <t xml:space="preserve">Сроки </t>
  </si>
  <si>
    <t xml:space="preserve">Место </t>
  </si>
  <si>
    <t>план</t>
  </si>
  <si>
    <t>факт</t>
  </si>
  <si>
    <t xml:space="preserve">  Финансирование</t>
  </si>
  <si>
    <t>Январь</t>
  </si>
  <si>
    <t>(руб.)</t>
  </si>
  <si>
    <t>(шт.)</t>
  </si>
  <si>
    <t>Развитие и улучшение всех форм организации и проведения физкультурно-массовой, оздоровительной работы по подготовке учащихся, студентов к повышению спортивного мастерства, выявлению сильнейших спортсменов, сплочению, а также борьба против табакокурения и наркомании.</t>
  </si>
  <si>
    <t>городошный спорт</t>
  </si>
  <si>
    <t>настольный теннис</t>
  </si>
  <si>
    <t>УТС т/атл Подольск</t>
  </si>
  <si>
    <t>Т/а  УТС г.Подольск</t>
  </si>
  <si>
    <t>Футбол. Первенство</t>
  </si>
  <si>
    <t>груз.машины 6час.х190р.=1140р.,</t>
  </si>
  <si>
    <t>афиша 20шт.х 40р.=800р.</t>
  </si>
  <si>
    <t>аренда л/и 450х20р.= 9000р.</t>
  </si>
  <si>
    <t>афиша 20шт.х40р.=800р.</t>
  </si>
  <si>
    <t>Кубок с/к"Надежда" по настольному теннису</t>
  </si>
  <si>
    <t>Шахматы. Посвящ. Дню защит.Отечества</t>
  </si>
  <si>
    <t>Итого по 3.3</t>
  </si>
  <si>
    <t>КФКиС, кинолог. федер.</t>
  </si>
  <si>
    <t>Туризм.Регион.соревнован. р.Козыр</t>
  </si>
  <si>
    <t>ВС"Долг".Фестиваль АОСК.Томск</t>
  </si>
  <si>
    <t>Физкультурно-оздоровительная и спортивная работа среди детей и учащейся молодежи</t>
  </si>
  <si>
    <t>Авт.п.Самусь 12час.х200руб=2400р.ю</t>
  </si>
  <si>
    <t>(в тыс.руб.)</t>
  </si>
  <si>
    <t>Примечание</t>
  </si>
  <si>
    <t>Подготовка и участие сборных города в областных, всероссийских, международных соревнованиях</t>
  </si>
  <si>
    <t>Содержание городских команд по игровым видам спорта</t>
  </si>
  <si>
    <t>Организация физкультурно-оздоровительной и спортивно-массовой работы</t>
  </si>
  <si>
    <t>9.</t>
  </si>
  <si>
    <t>Материально-техническое обеспечение проведения городских спортивно-массовых мероприятий</t>
  </si>
  <si>
    <t>Увеличение 2007г по сравнению с 2006г.</t>
  </si>
  <si>
    <t>Итого проект на 2007 год больше на 693,4 т.руб. по сравнению со сметой на 2006 год</t>
  </si>
  <si>
    <t>Увеличение на94,6 т.руб за счет увеличения расценок оплаты судейства и стоимости призов согласно приказу Департамента по молодежной политике, физической культуре и спорту № 1 от 01.03.2006 "О материальном обеспечении физкультурно-спортивных мероприятий в Томской области" и увеличение видов спорта в областной спартакиаде школьноков.</t>
  </si>
  <si>
    <t xml:space="preserve"> Перенесены спортивные мероприятия оз раздела 3,4 в раздел 2,2 на сумму 607,3 т.руб</t>
  </si>
  <si>
    <t>Увеличение на 803,5 т.руб за счет увеличения расценок оплаты судейства и стоимости призов согласно приказу Департамента по молодежной политике, физической культуре и спорту № 1 от 01.13.2006 "О материальном обеспечении физкультурно-спортивных мероприятий", а также  перенесены мероприятия из раздела 3,4 в раздел 2,2 на 607,3 тыс руб</t>
  </si>
  <si>
    <t xml:space="preserve"> Расходы предусмотрены в разделе 9 "Материально-техническое обеспечение проведения городских спортивно-массовых мероприятий".</t>
  </si>
  <si>
    <t xml:space="preserve"> Уменьшение на 219,1 тыс.руб. в связи стем, что в смете 2006г заложено погашение кредиторской задолженности за 2005год в сумме 408.2 т.руб. Увеличение на 189,1 за счет увеличения норм на питание участников соревнований в дни соревнований  согласно приказу Департамента по молодежной политике, физической культуре и спорту № 1 от 01.03.2006 "О материальном обеспечении физкультурно-спортивных мероприятий в Томской области" </t>
  </si>
  <si>
    <t>Уменьшение на 4,6 т. Руб. в связи с погашением в 2006г задолженности за 2005г в сумме 6.4 тыс рубУвеличение на 1,8 т.руб за счет увеличения расценок на коммунальное обслуживание клубов</t>
  </si>
  <si>
    <t>Увеличение в связи с увеличением ставки 1 разряда ЕТС</t>
  </si>
  <si>
    <t>Увеличение на 32,8 т.руб. за счет увеличения стоимости призов награждения юбиляров согласно приказу Департамента по молодежной политике, физической культуре и спорту № 1 от 01.03.2006 "О материальном обеспечении физкультурно-спортивных мероприятий в Томской области".</t>
  </si>
  <si>
    <t xml:space="preserve">Увеличение на 488,3 т.руб. за счет планирования приобрести необходимый спортинвентарь для проведения соревнований и качественной подготовки к ним  </t>
  </si>
  <si>
    <t>Председатель КФКиС</t>
  </si>
  <si>
    <t>Гл.Бухгалтер</t>
  </si>
  <si>
    <t>Г.В.Батраченко</t>
  </si>
  <si>
    <t>Н.М.Гуркова</t>
  </si>
  <si>
    <t>Пояснительная записка к проекту  программы "Спортивный город" на 2007г</t>
  </si>
  <si>
    <t>Комитет по физической культуре и спорту Администрации ЗАТО Северск</t>
  </si>
  <si>
    <t xml:space="preserve">      Карташов А.А. 52-29-64</t>
  </si>
  <si>
    <t>Проведение Всероссийских турниров в ЗАТО Северск</t>
  </si>
  <si>
    <t>Спорт.праздник "День ВВ МВД" в/ч 3478</t>
  </si>
  <si>
    <t xml:space="preserve">спортивного инвентаря и оборудования по работе </t>
  </si>
  <si>
    <t>Турнир памяти Гумерова по баскетболу</t>
  </si>
  <si>
    <t>VII. ИНФОРМАЦИОННАЯ, ОБРАЗОВАТЕЛЬНО-ПРОСВЕТИТЕЛЬСКАЯ И РЕКЛАМНАЯ ДЕЯТЕЛЬНОСТЬ ПО ФОРМИРОВАНИЮ ЗДОРОВОГО ОБРАЗА ЖИЗНИ</t>
  </si>
  <si>
    <t>7.1 Освещение текущих спортивных событий в средствах массовой информации ЗАТО Северск</t>
  </si>
  <si>
    <t>7.2 Подготовка наградного материала проводимых мероприятий</t>
  </si>
  <si>
    <t>YIII. МАТЕРИАЛЬНО-ТЕХНИЧЕСКОЕ ОБЕСПЕЧЕНИЕ ПРОВЕДЕНИЯ СПОРТИВНО-МАССОВЫХ МЕРОПРИЯТИЙ</t>
  </si>
  <si>
    <t>8.3</t>
  </si>
  <si>
    <t>8.4</t>
  </si>
  <si>
    <t>8.5</t>
  </si>
  <si>
    <t>Сводный календарный план финансирования программных мероприятий на 2007 год                                            с разбивкой по кварталам</t>
  </si>
  <si>
    <t>2500р в месяц х12мес</t>
  </si>
  <si>
    <t xml:space="preserve"> Смета  Программы на 2007 год с разбивкой по месяцам  </t>
  </si>
  <si>
    <t>ФИНАНСОВОЕ ОБЕСПЕЧЕНИЕ МЕРОПРИЯТИЙ ПРОГРАММЫ ПО ОСНОВНЫМ НАПРАВЛЕНИЯМ  НА 2007 ГОД</t>
  </si>
  <si>
    <t xml:space="preserve">2007 год </t>
  </si>
  <si>
    <t>Первенство школ города по мини-футболу</t>
  </si>
  <si>
    <t>Первенство  по конькобежному спорту по многоборью</t>
  </si>
  <si>
    <t>Чемпионат города по полиатлону</t>
  </si>
  <si>
    <t>Зональные сор.школ.Томск в/б</t>
  </si>
  <si>
    <t>Зональные сор.школ.Томск б/б</t>
  </si>
  <si>
    <t>Соревнования по волейболу среди инвалидов</t>
  </si>
  <si>
    <t>Спортивный праздник среди детей Центра Детской Реабилитации, посвященный Дню защиты детей</t>
  </si>
  <si>
    <t>Зимняя областная спартакиада среди допризывной молодежи в п.Зональном</t>
  </si>
  <si>
    <t>Судомодельный спорт</t>
  </si>
  <si>
    <t>Омск</t>
  </si>
  <si>
    <t>Всероссийский турнир по греко-римской борьбе, посвященный Слепцову</t>
  </si>
  <si>
    <t>скотч широк. 10шт х 20р</t>
  </si>
  <si>
    <t>Стипендия (три человека по 300р)</t>
  </si>
  <si>
    <t>Спорт.бальные танцы. Турнир. Весен.фантазия</t>
  </si>
  <si>
    <t>КФКиС,ГВК,УО</t>
  </si>
  <si>
    <t>Доп.молодеж.Област.спартакиада Кожевниково</t>
  </si>
  <si>
    <t>КФКиС,ГВК, УО ДМП</t>
  </si>
  <si>
    <t xml:space="preserve">ЖЭУ.Спорт.масс.мероприятия </t>
  </si>
  <si>
    <t xml:space="preserve">Фестиваль д/детей </t>
  </si>
  <si>
    <t>Худож.гимн.Чемп.и перв.ВСРФ</t>
  </si>
  <si>
    <t>300р. Афиша</t>
  </si>
  <si>
    <t>Занятие детей в каникулярное время. Выявление перспективных детей для передачи в детско-юношеские спортивные школы.</t>
  </si>
  <si>
    <t>Соревнования по настольному теннису среди инвалидов</t>
  </si>
  <si>
    <t>Зональный</t>
  </si>
  <si>
    <t>Кожевниково</t>
  </si>
  <si>
    <t>УТС к первенству Европы по борьбе самбо</t>
  </si>
  <si>
    <t>Легкая атлетика. Мемориал братьев Знаменских г.Казань</t>
  </si>
  <si>
    <t xml:space="preserve">Борьба греко-римская. Чемпионат ЦСФСПО по назначению </t>
  </si>
  <si>
    <t>Сем. Перевал</t>
  </si>
  <si>
    <t>Открытое первенство Новосибирска по настольному теннису</t>
  </si>
  <si>
    <t>Первенство Томской области по шахматам</t>
  </si>
  <si>
    <t>Кубок Томской области по баскетболу</t>
  </si>
  <si>
    <t>Полиатлон  УТС Семинский перевал</t>
  </si>
  <si>
    <t>Баротератия  5 сеансов</t>
  </si>
  <si>
    <t>Алма-ата</t>
  </si>
  <si>
    <t xml:space="preserve">Коньки.УТС Чемп. России </t>
  </si>
  <si>
    <t>Мемориал Н.Измайлова по шахматам (Этап Кубка России) г.Томск</t>
  </si>
  <si>
    <t>Коньки.Этап Кубка РФ.Иркутск</t>
  </si>
  <si>
    <t>ЕСН</t>
  </si>
  <si>
    <t>Н/т.Кубок с/к"Надежда"</t>
  </si>
  <si>
    <t>КФКиС,ГОИ</t>
  </si>
  <si>
    <t>Плавание.Зона Сибири</t>
  </si>
  <si>
    <t>Б/Греко-римская. Чемпионат ЦСФСОП по назначению</t>
  </si>
  <si>
    <t>Лапта. Перв-во Сибири. Омск</t>
  </si>
  <si>
    <t>Баскетбол. Кубок Губернатора</t>
  </si>
  <si>
    <t>Б/дзюдо. УТС к чемпионату РФ Красноярск</t>
  </si>
  <si>
    <t>заказ автобуса-5000р.</t>
  </si>
  <si>
    <t>провоз собак - 1600р.</t>
  </si>
  <si>
    <t>Б/дзюдо.Всероссийский т-р Пименова Новосибирск</t>
  </si>
  <si>
    <t>ВСК"Долг".Военизиров.кросс. Томск</t>
  </si>
  <si>
    <t>Т/а. Всероссийский т-р Курынова. Казань</t>
  </si>
  <si>
    <t xml:space="preserve">Спорт-танцы Чр,ЧС </t>
  </si>
  <si>
    <t>Спартакиада озд.лагерей</t>
  </si>
  <si>
    <t>Лыжи УТС г.Новосибирск</t>
  </si>
  <si>
    <t>270 кв.см х 52 ном.в год / 12 мес.</t>
  </si>
  <si>
    <t>ИТОГО</t>
  </si>
  <si>
    <t>Всего за год</t>
  </si>
  <si>
    <t>п.Зональный</t>
  </si>
  <si>
    <t>ВСЕГО ЗА ГОД</t>
  </si>
  <si>
    <t>С/к"Надежда " наст.теннис</t>
  </si>
  <si>
    <t>Тепло</t>
  </si>
  <si>
    <t>Телефоны</t>
  </si>
  <si>
    <t>Вода</t>
  </si>
  <si>
    <t>Москва</t>
  </si>
  <si>
    <t>В городе культивируется 40 видов спорта, минимальный состав команды 10 человек</t>
  </si>
  <si>
    <t>КФКиС,клуб"Ариэль"</t>
  </si>
  <si>
    <t>Зональн.соревн.школ.Томск</t>
  </si>
  <si>
    <t>Итого по 1.2</t>
  </si>
  <si>
    <t>Итого по 1.3</t>
  </si>
  <si>
    <t>Открытое первенство по фитнесс-аэробике</t>
  </si>
  <si>
    <t xml:space="preserve">         Внештатный фонд</t>
  </si>
  <si>
    <t>6шт х 1200р</t>
  </si>
  <si>
    <t>тех.осмотр,регистрация,налог с трансп.средств</t>
  </si>
  <si>
    <t>ГСМ для дельтопланерного спорта</t>
  </si>
  <si>
    <t>Проведение физкультурно-массовых мероприятий с учащимися общеобразовательных школ</t>
  </si>
  <si>
    <t>кнопки 30кор х 6р</t>
  </si>
  <si>
    <t>линейка 10шт х 4р</t>
  </si>
  <si>
    <t>Казань</t>
  </si>
  <si>
    <t>Плавание</t>
  </si>
  <si>
    <t>Полиатлон</t>
  </si>
  <si>
    <t>Сем.перев</t>
  </si>
  <si>
    <t xml:space="preserve">Смета расходов Комитета по ФКиС для приобретения </t>
  </si>
  <si>
    <t>областных и Республиканских соревнованиях</t>
  </si>
  <si>
    <t>Фестиваль "Спорт. семья"</t>
  </si>
  <si>
    <t>автоб.2раза х10час х 350р= 7000</t>
  </si>
  <si>
    <t>Спортивный праздник "Лыжня здоровья"</t>
  </si>
  <si>
    <t>Город.спорт.Чемпионат РФ</t>
  </si>
  <si>
    <t>Лыжи.Кубок Хакасии.Тейя</t>
  </si>
  <si>
    <t>4.2. Медицинское обеспечение и врачебный контроль</t>
  </si>
  <si>
    <t>Развернутый анализ крови, мочи</t>
  </si>
  <si>
    <t>Велоэргометрия с физической нагрузкой</t>
  </si>
  <si>
    <t>Лабораторное обследование крови на гормональный статус</t>
  </si>
  <si>
    <t>фломастеры 5шт х 30р</t>
  </si>
  <si>
    <t>ручки 20шт х 6р</t>
  </si>
  <si>
    <t>маркер 10шт х 10р</t>
  </si>
  <si>
    <t>уголки 20шт х 6р</t>
  </si>
  <si>
    <t>краски 5шт х 45р</t>
  </si>
  <si>
    <t>фломастеры 10комп. х 55р</t>
  </si>
  <si>
    <t>Шашки.Перв.по актив.шашкам</t>
  </si>
  <si>
    <t>В месяц</t>
  </si>
  <si>
    <t>Междугородние переговоры</t>
  </si>
  <si>
    <t>II.ФИЗКУЛЬТУРНО-ОЗДОРОВИТЕЛЬНАЯ И ПРОФИЛАКТИЧЕСКАЯ РАБОТА С НАСЕЛЕНИЕМ</t>
  </si>
  <si>
    <t>2 чел.сб.России</t>
  </si>
  <si>
    <t>2 автобуса х 5 час х400 р=4000 р</t>
  </si>
  <si>
    <t>3 автобуса х 5 час х400 р=4000 р</t>
  </si>
  <si>
    <t>1.1 Проведение городских спортивно-массовых мероприятий с дошкольниками</t>
  </si>
  <si>
    <t>Первенство п.Самусь по волейболу</t>
  </si>
  <si>
    <t xml:space="preserve">Мини-футбол. Первенство школ  </t>
  </si>
  <si>
    <t>Весенний легкоатлетический кросс среди работников городских организаций 1,2,3 группа</t>
  </si>
  <si>
    <t>В/б.Перв-во среди женщин</t>
  </si>
  <si>
    <t>Шахматы.Полуфинал перв-во</t>
  </si>
  <si>
    <t>Б/греко-римск.Всерос.турнир</t>
  </si>
  <si>
    <t>КФКиС</t>
  </si>
  <si>
    <t>ЖЭУ. Футбол на улице в зачет городской Спартакиады</t>
  </si>
  <si>
    <t>Л/а.Обл.кросс.Кубок Раппа.Томск</t>
  </si>
  <si>
    <t>4.1 Подготовка и участие сборных команд ЗАТО Северск по видам спорта в областных, всероссийских и международных соревнованиях</t>
  </si>
  <si>
    <t>Волейбол. Междугород.турнир среди студенческих команд г.Северска и г.Томска</t>
  </si>
  <si>
    <t>5.1</t>
  </si>
  <si>
    <t>I квартал</t>
  </si>
  <si>
    <t>II квартал</t>
  </si>
  <si>
    <t>III квартал</t>
  </si>
  <si>
    <t>IV квартал</t>
  </si>
  <si>
    <t>Годовая</t>
  </si>
  <si>
    <t>награжд. 5 лучш.спортсменов по неолимп.видам</t>
  </si>
  <si>
    <t>Получение полной и всесторонней информации о состоянии здоровья, функциональном состоянии организма и работоспособности спортсменов высокой класса</t>
  </si>
  <si>
    <t>Лыжи Чемп.Красноярского края</t>
  </si>
  <si>
    <t>Итого по 1.7</t>
  </si>
  <si>
    <t>Итого по 1.8</t>
  </si>
  <si>
    <t>Итого по 2.1</t>
  </si>
  <si>
    <t>Итого по 2.2</t>
  </si>
  <si>
    <t>Итого по 4.2</t>
  </si>
  <si>
    <t>Итого по 4.1</t>
  </si>
  <si>
    <t>Л/а. Матчевая встреча памяти</t>
  </si>
  <si>
    <t>наркотиков"</t>
  </si>
  <si>
    <t>Туризм. Поход выходного дня</t>
  </si>
  <si>
    <t>Б/гр-римск. Всерос.турн.Вырупаева</t>
  </si>
  <si>
    <t>Б/самбо Чемпионат и перв.области Томск</t>
  </si>
  <si>
    <t xml:space="preserve">аренда лыж.трасс </t>
  </si>
  <si>
    <t>Всероссийский турнир по борьбе самбо, посвященный Бородину</t>
  </si>
  <si>
    <t>ГСМ для ГАЗели</t>
  </si>
  <si>
    <t>баскетбольные команды, футбольные команды.</t>
  </si>
  <si>
    <t>краски 5шт х 20р</t>
  </si>
  <si>
    <t>ватман 10лист х 5р</t>
  </si>
  <si>
    <t xml:space="preserve">цв.бумага </t>
  </si>
  <si>
    <t>МАТЕРИАЛЬНО-ТЕХНИЧЕСКОЕ ОБЕСПЕЧЕНИЕ ПРОВЕДЕНИЯ ГОРОДСКИХ СПОРТИВНО-МАССОВЫХ МЕРОПРИЯТИЙ</t>
  </si>
  <si>
    <t>Форма футбольная</t>
  </si>
  <si>
    <t>Спорт.форма волейбольная (юн.,дев.)</t>
  </si>
  <si>
    <t xml:space="preserve">Тапки волейбольные </t>
  </si>
  <si>
    <t>Мяч волейбольный</t>
  </si>
  <si>
    <t>Бутцы</t>
  </si>
  <si>
    <t>Мяч футбольный</t>
  </si>
  <si>
    <t>Кроссовки</t>
  </si>
  <si>
    <t>Мяч баскетбольный</t>
  </si>
  <si>
    <t>Лыжи "Атомик"</t>
  </si>
  <si>
    <t>Комбинзон лыжный</t>
  </si>
  <si>
    <t>Мазь лыжная</t>
  </si>
  <si>
    <t>Парафин</t>
  </si>
  <si>
    <t>Порошок</t>
  </si>
  <si>
    <t>Шарики н/тенниса</t>
  </si>
  <si>
    <t>7комп. х 500р.</t>
  </si>
  <si>
    <t>4комп. х 500р.</t>
  </si>
  <si>
    <t>Биты</t>
  </si>
  <si>
    <t>В/б пляжный.День города</t>
  </si>
  <si>
    <t xml:space="preserve">Организация и проведение спортивных мероприятий в в/ч 3478, предприятиях, учреждениях  ЗАТО Северск и проведение годовой комплексной спартакиады. </t>
  </si>
  <si>
    <t>Организация и проведение работы по повышению квалификации специалистов по физической культуре и спорту</t>
  </si>
  <si>
    <t>Проведение физкультурно-оздоровительной работы  и содействие в организации учебно-тренировочных занятий с инвалидами</t>
  </si>
  <si>
    <t>Приложение № 2</t>
  </si>
  <si>
    <t xml:space="preserve">Приложение № 5 к программе </t>
  </si>
  <si>
    <t>Перечень программных меропритятий на 2007 г.</t>
  </si>
  <si>
    <t>Осьминожка-2007</t>
  </si>
  <si>
    <t>Усовершенствование системы подготовки спортсменов, создание условий для успешного выступления в соревнованиях: Атомиаде,областных соревнованиях, чемпионатах.первенствах. Всероссийских соревнованиях</t>
  </si>
  <si>
    <t>III Физическая культура и спорт среди молодежи, лиц следнего и старшего возраста</t>
  </si>
  <si>
    <t>2.3 Организация и проведениеработы по повышению квалификации специалистов по физической культуре и спорту.</t>
  </si>
  <si>
    <t xml:space="preserve"> Самусь Л/атл.кросс  </t>
  </si>
  <si>
    <t>Самусь Спорт.празд.посв.Дню речника</t>
  </si>
  <si>
    <t>Самусь Футбол пер-во поселка</t>
  </si>
  <si>
    <t>Самусь Легкоатлетический кросс</t>
  </si>
  <si>
    <t>Самусь Пер-во по в/б</t>
  </si>
  <si>
    <t>Самусь Осенний л/а кросс</t>
  </si>
  <si>
    <t>Самусь Открытие хокк.сезона</t>
  </si>
  <si>
    <t>Самусь Шашки пер-во поселка</t>
  </si>
  <si>
    <t>Самусь Шахматы пер-во</t>
  </si>
  <si>
    <t>Самусь Пер-во по б/б</t>
  </si>
  <si>
    <t>Самусь Награжд. по итогам года</t>
  </si>
  <si>
    <t>Самусь Лыж.гонки на приз Деда Мороза</t>
  </si>
  <si>
    <t>Орловка Первенство по н/т</t>
  </si>
  <si>
    <t>Орловка Праздник к .Дню  8 марта</t>
  </si>
  <si>
    <t>Орловка Лыжные гонки</t>
  </si>
  <si>
    <t>Орловка "Лыжня здоровья"</t>
  </si>
  <si>
    <t>Орловка Перв-во по шахматам</t>
  </si>
  <si>
    <t>Орловка Футбол Пер-во</t>
  </si>
  <si>
    <t>Орловка Осен.л/а кросс</t>
  </si>
  <si>
    <t>Орловка Спорт.празд.посв.Дню учителя</t>
  </si>
  <si>
    <t>Орловка Пер-во по шашкам</t>
  </si>
  <si>
    <t>Орловка Спорт.вечер по итогам года</t>
  </si>
  <si>
    <t>Самусь Волейбол блиц-турнир</t>
  </si>
  <si>
    <t>концертные номера</t>
  </si>
  <si>
    <t>Допр.молод. Зимняя спартакиада</t>
  </si>
  <si>
    <t>Проведение физкультурно-массовых мероприятий в оздоровительных лагерях</t>
  </si>
  <si>
    <t>4000р. - аренда лыжной базы</t>
  </si>
  <si>
    <t>ФОМС 3,1%</t>
  </si>
  <si>
    <t>3</t>
  </si>
  <si>
    <t>КФКиС, басс. "Дельфин"</t>
  </si>
  <si>
    <t>Первенство по волейболу среди мужчин 1,2,3 группа в зачет спартакиады</t>
  </si>
  <si>
    <t>Итоговый спортивный праздник по спартакиаде "Спорт для всех" среди муниципальных предприятий, организаций, учебных заведений</t>
  </si>
  <si>
    <t>Спортивный праздник "Лыжня здоровья" среди работников организаций и предприятий 1,2,3 группа. Конкурсы: перетягивание каната, армреслинг, "Веселые старты"</t>
  </si>
  <si>
    <t>Конференция по водным видам спорта</t>
  </si>
  <si>
    <t>Блиц-турнир по волейболу среди женских команд</t>
  </si>
  <si>
    <t>Соревнования по хоккею, посвященные Дню Защитника Отечества</t>
  </si>
  <si>
    <t>Соревнования по шахматам, посвященные Дню Защитника Отечества</t>
  </si>
  <si>
    <t>бумага ксероксн.12пач х 115р</t>
  </si>
  <si>
    <t>бумага писчая 5пач х 70р</t>
  </si>
  <si>
    <t>Н/т. Первенство города среди школ</t>
  </si>
  <si>
    <t>50т.р. Членский взнос</t>
  </si>
  <si>
    <t>микшер,процессор звуков,подгот муз сопровожд СД-диски 2500р</t>
  </si>
  <si>
    <t>аренда помещ 60 чел х 4час=13000р</t>
  </si>
  <si>
    <t>Приобретение спортивного инвентаря для туристов</t>
  </si>
  <si>
    <t>Палатка</t>
  </si>
  <si>
    <t>Карабин</t>
  </si>
  <si>
    <t>Ледорубы</t>
  </si>
  <si>
    <t>Примус</t>
  </si>
  <si>
    <t>Кошки</t>
  </si>
  <si>
    <t>Котлы</t>
  </si>
  <si>
    <t>Рюкзак</t>
  </si>
  <si>
    <t>Спальник</t>
  </si>
  <si>
    <t>Коврик</t>
  </si>
  <si>
    <t>Веревка Ф6</t>
  </si>
  <si>
    <t>Веревка Ф8</t>
  </si>
  <si>
    <t>Веревка Ф10</t>
  </si>
  <si>
    <t>Система страховочная</t>
  </si>
  <si>
    <t>Ледовый молоток</t>
  </si>
  <si>
    <t xml:space="preserve">норма бензина </t>
  </si>
  <si>
    <t>вымпела 50шт.х20р.=1000</t>
  </si>
  <si>
    <t>Туризм Поход выходного дня</t>
  </si>
  <si>
    <t>Туризм.Соревн. по водному туризму</t>
  </si>
  <si>
    <t>1,2 гр.</t>
  </si>
  <si>
    <t>1л х 14л х 10ч. х 15р. = 2100р.</t>
  </si>
  <si>
    <t>бензин 2двиг.х5час.х4дн.х14л.х15р.=8400р.</t>
  </si>
  <si>
    <t>Туризм.Гор.спорт.игра "Поиск-2006"</t>
  </si>
  <si>
    <t>Туризм. "Папа, мама, я - спорт.семья"</t>
  </si>
  <si>
    <t>за информационные и тематические передачи, фильмы</t>
  </si>
  <si>
    <t>Самбо. Первенство города.</t>
  </si>
  <si>
    <t>Соревнования по шахматам среди работников организаций и предприятий 1,2,3 группа в зачет спартакиады</t>
  </si>
  <si>
    <t>Соревнования по мини-футболу в зачет спартакиады городских организаций и предприятий 1,2,3 группа</t>
  </si>
  <si>
    <t>Соревнования по шашкам в зачет спартакиады 1,2,3 группа</t>
  </si>
  <si>
    <t>Лыжные гонки. Открытие лыжного сезона</t>
  </si>
  <si>
    <t xml:space="preserve">Чемп.города, Кубок России </t>
  </si>
  <si>
    <t>аренда с/з: 8дн х 6ч х 180р=8640</t>
  </si>
  <si>
    <t>бензин 200лх16р=3200р</t>
  </si>
  <si>
    <t>автобус 500 руб х 4час=2000</t>
  </si>
  <si>
    <t>автоб. п.Самусь 120л х 17 руб=2040, аренда 30 час х 250р=7500</t>
  </si>
  <si>
    <t>автобус 300руб х 10час=3000руб</t>
  </si>
  <si>
    <t>Дзюдо.УТС к зоне Сибири</t>
  </si>
  <si>
    <t>Дзюдо.УТС к зоне до 23 лет</t>
  </si>
  <si>
    <t>Б/дзюдо.УТС к чемп. СФО</t>
  </si>
  <si>
    <t xml:space="preserve">Худож.гимн.Всерос.турнир </t>
  </si>
  <si>
    <t xml:space="preserve"> Екатеринбург</t>
  </si>
  <si>
    <t>Б/дзюдо.в/турн Др.народов</t>
  </si>
  <si>
    <t>Лыжные гонки                    ГСБ</t>
  </si>
  <si>
    <t>муницип. учрежд. предп., учебн.</t>
  </si>
  <si>
    <t>завед., в/частей                 Судьи</t>
  </si>
  <si>
    <t>(6 видов)                              ГСБ</t>
  </si>
  <si>
    <t>судьи</t>
  </si>
  <si>
    <t>аренда 18час х 170р=3060</t>
  </si>
  <si>
    <t xml:space="preserve"> Самусь  Н/тенис пер-во </t>
  </si>
  <si>
    <t xml:space="preserve"> Самусь Шахматы. Первенство</t>
  </si>
  <si>
    <t>Самусь Спорт.празд. "Лыжня здоровья"</t>
  </si>
  <si>
    <t>7.3 по раб.со спорт.клубами</t>
  </si>
  <si>
    <t>Подготовка и участие сборных команд ЗАТО Северск в областных, всероссийских и международных соревнованиях</t>
  </si>
  <si>
    <t>Проведение Спартакиады допризывной молодежи ЗАТО Северск</t>
  </si>
  <si>
    <t>Всероссийский турнир по художественной гимнастике, памяти М.Октябрьской</t>
  </si>
  <si>
    <t>мелки цветные 10шт х 25р</t>
  </si>
  <si>
    <t>фломастеры 20комп. х 55р</t>
  </si>
  <si>
    <t>ручки 25шт х 10р</t>
  </si>
  <si>
    <t>ручки 20шт х 10р</t>
  </si>
  <si>
    <t>резинка 20шт х 3р</t>
  </si>
  <si>
    <t>бумага 3пач х 115р</t>
  </si>
  <si>
    <t>бумага 3 пач х 115р</t>
  </si>
  <si>
    <t>бумага 4пач х 115р</t>
  </si>
  <si>
    <t>Отрасл.ВСИ "Енисей-2006"  Зеленогорск</t>
  </si>
  <si>
    <t>Соревнования по туризму.Скалолазание</t>
  </si>
  <si>
    <t>Подготовка и участие сборных команд ЗАТО Северск в финальных соревнованиях областных спартакиад школьников и студентов</t>
  </si>
  <si>
    <t>Матчевая встреча городов Сибири по легкой атлетике г.Новосибирск</t>
  </si>
  <si>
    <t>Гири.Кубок РФ 2-е борье</t>
  </si>
  <si>
    <t>Открытие зимнего сезона по хоккею</t>
  </si>
  <si>
    <t>Первенство по активным шашкам</t>
  </si>
  <si>
    <t>Проведение чемпионатов и первенств ЗАТО Северск по видам спорта</t>
  </si>
  <si>
    <t>Проведение спортивно-массовых мероприятий в ЗАТО Северск</t>
  </si>
  <si>
    <t>Подготовка и участие сборных команд ЗАТО Северск по видам спорта в областных, всероссийских и международных соревнованиях</t>
  </si>
  <si>
    <t xml:space="preserve"> Использование возможностей спорта для совершенствования нравственного, эстетического и интелектуального развития рабочих и служащих на  предприятиях и организациях. </t>
  </si>
  <si>
    <t>Ремонт и обслуживание оргтехники, автомобиля</t>
  </si>
  <si>
    <t>Ремонт компьютеров</t>
  </si>
  <si>
    <t>Ремонт ксероксов</t>
  </si>
  <si>
    <t>Ремонт автомобиля</t>
  </si>
  <si>
    <t>Ремонт видеокамеры</t>
  </si>
  <si>
    <t>Ремонт телевизоров</t>
  </si>
  <si>
    <t>М/ф.В зачет спартакиады 1,2.3 гр.</t>
  </si>
  <si>
    <t>ИТОГО ЗА ГОД по догов-подряда</t>
  </si>
  <si>
    <t>Зеленогорск</t>
  </si>
  <si>
    <t>Оренбург</t>
  </si>
  <si>
    <t>Шахматы.Перв.обл.Томск</t>
  </si>
  <si>
    <t>Основные направления реализации физической культуры и спорта</t>
  </si>
  <si>
    <t>Срок выполнения</t>
  </si>
  <si>
    <t>Т/а.УТС к чемп.РФ</t>
  </si>
  <si>
    <t>Теннис.День города</t>
  </si>
  <si>
    <t>Б/гр-римск.УТС к турн.Афанасьева</t>
  </si>
  <si>
    <t xml:space="preserve">Екатеринбург </t>
  </si>
  <si>
    <t xml:space="preserve">Сибири.Новосибирск  </t>
  </si>
  <si>
    <t>среди юниоров.Пермь</t>
  </si>
  <si>
    <t>Соревнования по лыжным гонкам</t>
  </si>
  <si>
    <t xml:space="preserve">Спортивный праздник, посвященный Дню учителя </t>
  </si>
  <si>
    <t>КФКиС, шк. п.Орловка</t>
  </si>
  <si>
    <t>КФКиС, Федер.бокса</t>
  </si>
  <si>
    <t>Стипендия (три человека)</t>
  </si>
  <si>
    <t>в теч. года</t>
  </si>
  <si>
    <t>УТС к чемпионату РФ по гиревому спорту</t>
  </si>
  <si>
    <t>Сп./гим.УТС к турн "В краю кедровом"</t>
  </si>
  <si>
    <t>УТС к турниру по борьбе греко-римской, посвященный Слепцову</t>
  </si>
  <si>
    <t>КФКиС, Федер.гр.рим.</t>
  </si>
  <si>
    <t>КФКиС, кинолог.федер.</t>
  </si>
  <si>
    <t>КФКиС, ШСК "ВИД"</t>
  </si>
  <si>
    <t>Турнир в честь Дня Защитника Отечества по шашкам</t>
  </si>
  <si>
    <t>Аэробика.Открытое первенство по фитнес-аэробике</t>
  </si>
  <si>
    <t>Турнир памяти Ю.Назаренко по гиревому спорту</t>
  </si>
  <si>
    <t>Спартакиада оздоров.лагерей</t>
  </si>
  <si>
    <t>Разделы</t>
  </si>
  <si>
    <t>Лисицина</t>
  </si>
  <si>
    <t>Согласно приложенным сметам расходов Комитета по ФКиС по обеспечению спортивной формой и инвентарем .</t>
  </si>
  <si>
    <t>Первенство РФ по русской лапте г.Нижний Новгород</t>
  </si>
  <si>
    <t>Чемпионат РФ по городошному спорту г.Екатеринбург</t>
  </si>
  <si>
    <t>Чемпионат Центральной Азии по пауэрлифтингу г.Красноярск</t>
  </si>
  <si>
    <t>7.4 по работе с инвалидами</t>
  </si>
  <si>
    <t>7.5 по раб.с лечебно-оздоров.груп</t>
  </si>
  <si>
    <t>7.6 по работе по месту жительства</t>
  </si>
  <si>
    <t>ЖЭУ. Спорт.масс. мероприят. внутриклуб.</t>
  </si>
  <si>
    <t>УТС к соревнованиямзоны Сибири по борьбе дзюдо</t>
  </si>
  <si>
    <t>Всероссийский турнир Вырупаева по борьбе греко-римской г.Новосибирск</t>
  </si>
  <si>
    <t>борьба дзюдо - 1 человек</t>
  </si>
  <si>
    <t>пулевая стрельба - 1 человек</t>
  </si>
  <si>
    <t>борьба греко-римская - 2 человека</t>
  </si>
  <si>
    <t>Проведение спортивно-массовых мероприятий с дошкольниками</t>
  </si>
  <si>
    <t>Награждение по итогам года п.Самусь</t>
  </si>
  <si>
    <t>Спортивный праздник, посвященный Дню речника п.Самусь</t>
  </si>
  <si>
    <t>Стоимость ед.(руб)</t>
  </si>
  <si>
    <t>Список на приобретение канцелярских товаров п.Самусь</t>
  </si>
  <si>
    <t>Всего</t>
  </si>
  <si>
    <t>Ответст.</t>
  </si>
  <si>
    <t>Кол.чел.</t>
  </si>
  <si>
    <t>Кол.дней</t>
  </si>
  <si>
    <t>Сумма</t>
  </si>
  <si>
    <t>Кол.</t>
  </si>
  <si>
    <t>Стоим</t>
  </si>
  <si>
    <t>прочие расх.</t>
  </si>
  <si>
    <t>Проезд</t>
  </si>
  <si>
    <t>Проживание</t>
  </si>
  <si>
    <t>Суточные и питание</t>
  </si>
  <si>
    <t>Стоим.</t>
  </si>
  <si>
    <t>Кол.шк.</t>
  </si>
  <si>
    <t>Борьба греко-римская</t>
  </si>
  <si>
    <t>Чемпионат Томской области по тяжелой атлетике</t>
  </si>
  <si>
    <t xml:space="preserve">Повышение уровня гражданского и военно-патриотического воспитания молодежи, улучшение физического здоровья молодого поколения. </t>
  </si>
  <si>
    <t>Соревнования по лыжным гонкам на приз Деда Мороза</t>
  </si>
  <si>
    <t xml:space="preserve"> Повышение престижа молодежи, занимающихся физической культуры и спорта. Выполнение спортсменами объемов тренировочных и соревновательных нагрузок, предусмотренных индивидуальными планами подготовки. Стабильность результатов выступления во всероссийских и международных соревнованиях. Обеспечение условий для спортивного совершенствования. Популиризация видов спорта. </t>
  </si>
  <si>
    <t xml:space="preserve">УТС к соревнованиям зоны Сибири по дзюдо </t>
  </si>
  <si>
    <t>УТС к турниру памяти Н. Путина по боксу</t>
  </si>
  <si>
    <t>Всероссийский турнир по боксу, посвященный памяти Н.Путина</t>
  </si>
  <si>
    <t>Легкоатлетический пробег посвященныйдню рождению В.И. Ленину</t>
  </si>
  <si>
    <t>Блиц-турнир к Дню Победы по шашкам</t>
  </si>
  <si>
    <t>По работе с лечебно-оздоровительными группами</t>
  </si>
  <si>
    <t>По работе по месту жительства</t>
  </si>
  <si>
    <t>По работе по договорам-подряда</t>
  </si>
  <si>
    <t>II. ФИЗКУЛЬТУРНО-ОЗДОРОВИТЕЛЬНАЯ И ПРОФИЛАКТИЧЕСКАЯ РАБОТА С НАСЕЛЕНИЕМ</t>
  </si>
  <si>
    <t>Ремонт прочих основных средств</t>
  </si>
  <si>
    <t>приобретение тонера для ксероксов, принтеров</t>
  </si>
  <si>
    <t>приобретение картриджей для принтеров</t>
  </si>
  <si>
    <t>видеокассеты 15шт. х 60р.</t>
  </si>
  <si>
    <t>СД-диски 15шт.х10р.</t>
  </si>
  <si>
    <t>Фотопленка 20шт.х 100р.</t>
  </si>
  <si>
    <t>Рождественское волейбол-шоу</t>
  </si>
  <si>
    <t>Биатлон.Кубок РФ. г.Новосибирск</t>
  </si>
  <si>
    <t>ВСК"Долг" Военноспортивное многоборье. г. Асино</t>
  </si>
  <si>
    <t>По работе со школьниками</t>
  </si>
  <si>
    <t>Открытое первенство по плаванию среди ветеранов</t>
  </si>
  <si>
    <t>областных спартакиадах школьников</t>
  </si>
  <si>
    <t>Спорт.форма л/атлетическая</t>
  </si>
  <si>
    <t>Ракетка н/тенниса</t>
  </si>
  <si>
    <t>ЖЭУ. Наст.тенис в зач. гор.Спартакиады</t>
  </si>
  <si>
    <t xml:space="preserve">Для работы данных секций и проведения соревнований городского масштаба и отборочных внутриклубных </t>
  </si>
  <si>
    <t>Первенство России по греко-римской борьбе г.Пермь</t>
  </si>
  <si>
    <t>Самбо.УТС к перв.РФ</t>
  </si>
  <si>
    <t>Б/дзюдо УТС к первенству РФ  Минусинск</t>
  </si>
  <si>
    <t>Фестиваль нац вид спорта</t>
  </si>
  <si>
    <t>Кубок РФ</t>
  </si>
  <si>
    <t>Оплата ГСМС для полетов</t>
  </si>
  <si>
    <t xml:space="preserve">год </t>
  </si>
  <si>
    <t>ИТОГО 9</t>
  </si>
  <si>
    <t>Нижний Тагил</t>
  </si>
  <si>
    <t>Лапта Кубок УРАЛА</t>
  </si>
  <si>
    <t>Коньки.УТС.г.Челябинск</t>
  </si>
  <si>
    <t>Коньки.УТС.Челябинск</t>
  </si>
  <si>
    <t>Оформ.уголка здоровья "Спорт против наркотиков" фото</t>
  </si>
  <si>
    <t>(5 видов)     веселые старты</t>
  </si>
  <si>
    <t>волейбол</t>
  </si>
  <si>
    <t>наст. теннис</t>
  </si>
  <si>
    <t>шахматы</t>
  </si>
  <si>
    <t>бильярд</t>
  </si>
  <si>
    <t>зам. гл.судей</t>
  </si>
  <si>
    <t>фото 15шт х 20р=300</t>
  </si>
  <si>
    <t>аренда 9час х 170р=1530р</t>
  </si>
  <si>
    <t>Челябинск</t>
  </si>
  <si>
    <t>КонькиУТС</t>
  </si>
  <si>
    <t>имюль</t>
  </si>
  <si>
    <t>Подольск</t>
  </si>
  <si>
    <t>КФКиС, СГТА, СПК, в/ч, ПУ-10, ПУ-32</t>
  </si>
  <si>
    <t>РАСШИФРОВКА РАСХОДОВ ПО СТАТЬЯМ ЗАТРАТ</t>
  </si>
  <si>
    <t>Л/Б Янтарь</t>
  </si>
  <si>
    <t>легкая атлетика - 5 человек</t>
  </si>
  <si>
    <t>тяжелая атлетика - 2 человека</t>
  </si>
  <si>
    <t>конькобежный спорт - 2 человека</t>
  </si>
  <si>
    <t>гимнастика - 2 человека</t>
  </si>
  <si>
    <t>лыжные гонки - 2 человек</t>
  </si>
  <si>
    <t>Итого 17 человек в течении года</t>
  </si>
  <si>
    <t>"Спортивная Элита-2006"</t>
  </si>
  <si>
    <t>Х/гимн.УТС к М.Октябрьской</t>
  </si>
  <si>
    <t>Х/гимн.Всероссийский турнир</t>
  </si>
  <si>
    <t>памяти М.Октябрьской</t>
  </si>
  <si>
    <t>Смнта расходов Комитета по ФКиС для проведения</t>
  </si>
  <si>
    <t xml:space="preserve">игр Чемпионата России по баскетболу </t>
  </si>
  <si>
    <t>Вода миниральная</t>
  </si>
  <si>
    <t>Первенство по футболу 1,2,3 группы</t>
  </si>
  <si>
    <t>Шахматы. Перв-во по актив.шахм.</t>
  </si>
  <si>
    <t>7.7 работа по договорам подряда:</t>
  </si>
  <si>
    <t>ставок, договоров</t>
  </si>
  <si>
    <t>ГСМ для ледоуборочной машины (заливка льда)</t>
  </si>
  <si>
    <t>По работе со спортивно-техническими клубами</t>
  </si>
  <si>
    <t>По работе с инвалидами</t>
  </si>
  <si>
    <t>3.1 Проведение учебно-тренировочных сборов к Всероссийским турнирам, атомиаде, областным соревнованиям, чемпионатам и первенствам России</t>
  </si>
  <si>
    <t>Витаминизац</t>
  </si>
  <si>
    <t>Гр.римская УТС к Слепцову</t>
  </si>
  <si>
    <t>Мемориал Н.Измайлова по шахматам (этап Кубка России) г.Томск</t>
  </si>
  <si>
    <t>Атомиада Сибири</t>
  </si>
  <si>
    <t xml:space="preserve">Оформление  рекламы  на щитах МУ "Северский природный парк ", фото-стендов (по итогам года и значимых мероприятий) </t>
  </si>
  <si>
    <t>КФКиС,СГТА</t>
  </si>
  <si>
    <t>МУ "Северский музыкальный театр"</t>
  </si>
  <si>
    <t>КФКиС,СОШ №83</t>
  </si>
  <si>
    <r>
      <t xml:space="preserve">*итоговый спортивный праздник </t>
    </r>
    <r>
      <rPr>
        <b/>
        <sz val="9"/>
        <rFont val="Arial Cyr"/>
        <family val="2"/>
      </rPr>
      <t>(декабрь)</t>
    </r>
  </si>
  <si>
    <t>В течение года</t>
  </si>
  <si>
    <t>Итого по 3.4</t>
  </si>
  <si>
    <t>Б/б.Турнир памяти Гумерова</t>
  </si>
  <si>
    <t>Доприз.молод.Летняя Спартакиада</t>
  </si>
  <si>
    <t>Спартакиада в честь комосмола</t>
  </si>
  <si>
    <t>Биатлон.УТС вкатывание. Семинский перевал</t>
  </si>
  <si>
    <t>Баротератия 5 сеансов</t>
  </si>
  <si>
    <t>Медицинский и врачебный контроль проходят ведущие спортсмены по видам спорту:</t>
  </si>
  <si>
    <t>Спорт.празд."День здоровья коллект.физ-ры" Администрац.</t>
  </si>
  <si>
    <t>Спорт.празд."День милиции" УВД</t>
  </si>
  <si>
    <t>Соревнования по парусному спорту в честь Дня ВМФ</t>
  </si>
  <si>
    <t xml:space="preserve"> Кубок Мера ЗАТО Северск </t>
  </si>
  <si>
    <t>Всего  с ГСМ</t>
  </si>
  <si>
    <t>свод</t>
  </si>
  <si>
    <t>Б/б (юн). Первенство школ ЗАТО Северск.</t>
  </si>
  <si>
    <t>КФКиС,ОВ, УО, ДМП</t>
  </si>
  <si>
    <t>Конференция по борьбе гр.римск. г.Москва</t>
  </si>
  <si>
    <t>Конференция по борьба гр.гим г.Москва</t>
  </si>
  <si>
    <t>Ставрополь</t>
  </si>
  <si>
    <t>ОМСК</t>
  </si>
  <si>
    <t>Первенство области</t>
  </si>
  <si>
    <t xml:space="preserve">Приобретение канцелярских товаров для обеспечения соревновательного процесса, проведения спортивно-массовых мероприятий </t>
  </si>
  <si>
    <t xml:space="preserve">Проведение ремонта, обслуживание оргтехники и автотранспорта, автотранспортные расходы </t>
  </si>
  <si>
    <t>Награждение по итогам смотра-конкурса</t>
  </si>
  <si>
    <t>награждение "Физкультурный актив"</t>
  </si>
  <si>
    <t>Оздоровление, привлечение детей к регулярным занятиям физической культурой и спортом. Определение физических возможностей детей дошкольного возраста.</t>
  </si>
  <si>
    <t>Обслуживание сор-ний</t>
  </si>
  <si>
    <t>Награждение</t>
  </si>
  <si>
    <t>Н-Новгород</t>
  </si>
  <si>
    <t>Туризм</t>
  </si>
  <si>
    <t>№ п/п</t>
  </si>
  <si>
    <t>Вид сор</t>
  </si>
  <si>
    <t>Участ.орг</t>
  </si>
  <si>
    <t>По работе со сборными командами</t>
  </si>
  <si>
    <t>Таллин</t>
  </si>
  <si>
    <t xml:space="preserve"> Чемпионат мирапо греко-римской борьбе г.Таллин</t>
  </si>
  <si>
    <t xml:space="preserve">Б/гр.рим.  Чемп Мира </t>
  </si>
  <si>
    <t>Биатлон  УТС Краснояр.кр.</t>
  </si>
  <si>
    <t>Исполн. Карташов А.А. .  т. 55-99-19</t>
  </si>
  <si>
    <t xml:space="preserve">Исполн. </t>
  </si>
  <si>
    <t xml:space="preserve">Исполн.  </t>
  </si>
  <si>
    <t>Первенство по мини-футболу 1группа</t>
  </si>
  <si>
    <t>Командное первенство по шашкам</t>
  </si>
  <si>
    <t>Всероссийский турнир им.Олейника по греко-римской борьбе</t>
  </si>
  <si>
    <t>Жилет спасательный</t>
  </si>
  <si>
    <t>Финансирование</t>
  </si>
  <si>
    <t>Н/т.Первенство Томской обл</t>
  </si>
  <si>
    <t>Комплексные спортивно-массовые мероприятия</t>
  </si>
  <si>
    <t>февраль</t>
  </si>
  <si>
    <t>март</t>
  </si>
  <si>
    <t>апрель</t>
  </si>
  <si>
    <t xml:space="preserve">Спортивный праздник </t>
  </si>
  <si>
    <t>КФКиС, с/к"Надежда"</t>
  </si>
  <si>
    <t>КФКиС, УО</t>
  </si>
  <si>
    <t>КФКиС, УО, ДСШ</t>
  </si>
  <si>
    <t>КФКиС,ОВ, УО,ДМП</t>
  </si>
  <si>
    <t>КФКиС, Атом-Спорт</t>
  </si>
  <si>
    <t>Спорт.празд."День учителя"</t>
  </si>
  <si>
    <t xml:space="preserve">кол-во </t>
  </si>
  <si>
    <t>р/к</t>
  </si>
  <si>
    <t>Итого</t>
  </si>
  <si>
    <t>Художественная гимнастика</t>
  </si>
  <si>
    <t>Водные лыжи</t>
  </si>
  <si>
    <t>Парусный спорт</t>
  </si>
  <si>
    <t>Бокс</t>
  </si>
  <si>
    <t>Тяжелая атлетика</t>
  </si>
  <si>
    <t>Борьба дзюдо</t>
  </si>
  <si>
    <t>Биатлон</t>
  </si>
  <si>
    <t>Русская лапта</t>
  </si>
  <si>
    <t>ноябрь</t>
  </si>
  <si>
    <t>груп</t>
  </si>
  <si>
    <t>Плавание.Кубок Мэра</t>
  </si>
  <si>
    <t xml:space="preserve">увелич </t>
  </si>
  <si>
    <t>Томск</t>
  </si>
  <si>
    <t>Екатеринбург</t>
  </si>
  <si>
    <t>Купальный костюм</t>
  </si>
  <si>
    <t>Боксерские перчатки</t>
  </si>
  <si>
    <t>Трико борцовское</t>
  </si>
  <si>
    <t>Майка и трусы гимнастические</t>
  </si>
  <si>
    <t>Кимоно</t>
  </si>
  <si>
    <t>кол-во(ед.)</t>
  </si>
  <si>
    <t>Спорт. кроссовки</t>
  </si>
  <si>
    <t>Спорт. форма л/атлетическая</t>
  </si>
  <si>
    <t>Спорт. форма волейбольная</t>
  </si>
  <si>
    <t>Спорт. форма футбольная</t>
  </si>
  <si>
    <t>Спорт. форма баскетбольная</t>
  </si>
  <si>
    <t>Итого необходимо 40 видов х 10 человек = 400 комплектов кроссовок и спортивных костюмов</t>
  </si>
  <si>
    <t xml:space="preserve">и Росс. соревнованиях это такие виды спорта как легкая атлетика, лыжные гонки, волейболь.команды, </t>
  </si>
  <si>
    <t xml:space="preserve">шахматам, оздоровительной гимнастике. Для работы в данных секциях проведения 23 соревнований в течение </t>
  </si>
  <si>
    <t>года согласно календарного плана необходим данный спорт. инвентарь</t>
  </si>
  <si>
    <t>Коньки беговые</t>
  </si>
  <si>
    <t>Коньки роликовые</t>
  </si>
  <si>
    <t>Лыжи - роллеры</t>
  </si>
  <si>
    <t>Транспорт, афишы, вымпела.</t>
  </si>
  <si>
    <t>5000 руб.</t>
  </si>
  <si>
    <t>Медали-9000р., полиграф.продукция - 7000р.</t>
  </si>
  <si>
    <t>Питание 12чх7дн.х70р.=5880р.</t>
  </si>
  <si>
    <t>Н/т. Открытое первенство</t>
  </si>
  <si>
    <t>Т/а. Открытый т-р среди юношей</t>
  </si>
  <si>
    <t>полиграфия 1000р.</t>
  </si>
  <si>
    <t>Служебное собак.</t>
  </si>
  <si>
    <t>Чемпионат города по стрельбе из таб. оружия</t>
  </si>
  <si>
    <t>транспорт-4000р.</t>
  </si>
  <si>
    <t>Плавание. Откр. Пер-во ветераны</t>
  </si>
  <si>
    <t>КФКиС,  С/к"Надежда</t>
  </si>
  <si>
    <t>полиграфия-1000р.</t>
  </si>
  <si>
    <t>Использование окна "КП" для размещения рекламы соревнований, фотомонтажей, поздравлений спортсменам</t>
  </si>
  <si>
    <t>Изготовление фотографий для фотомонтажей и подготовки буклетов, афиш и программ для соревнований 120шт.в мес.х 30 руб./ 12 мес.</t>
  </si>
  <si>
    <t>6комп. х 500р.</t>
  </si>
  <si>
    <t>Штангетки</t>
  </si>
  <si>
    <t>6шт. х 250р.</t>
  </si>
  <si>
    <t>Количество комплектов спортивной формы соответствует количеству участников на выездных соревнованиях, согласно положения.</t>
  </si>
  <si>
    <t>Количество</t>
  </si>
  <si>
    <t>Первенство по спортивной гимнастике</t>
  </si>
  <si>
    <t>Открытое первенство и чемпионат по борьбе дзюдо</t>
  </si>
  <si>
    <t>Первенство по каратэ</t>
  </si>
  <si>
    <t>Чемпионат по легкой атлетике</t>
  </si>
  <si>
    <t>Первенство по пулевой стрельбе турнир Шромова</t>
  </si>
  <si>
    <t>Стр.</t>
  </si>
  <si>
    <t>Формирование готовности подрастающего поколения к защите отечества, действиям в экстремальных ситуациях. Определение сборной команды города.</t>
  </si>
  <si>
    <t>УТС к чемпионату РФ по пауэрлифтингу</t>
  </si>
  <si>
    <t>УТС к турниру "В краю Кедровом" по спортивной гимнастике</t>
  </si>
  <si>
    <t>Биатлон.УТС вкатывание.</t>
  </si>
  <si>
    <t>Биатлон.Кубок РФ.Новосибирск</t>
  </si>
  <si>
    <t>Лыжи.УТС.Семинский перевал</t>
  </si>
  <si>
    <t>лег.авт</t>
  </si>
  <si>
    <t>лич.авт 3дн х 40км</t>
  </si>
  <si>
    <t>КФКиС,  УО</t>
  </si>
  <si>
    <t>Финал первенства по шахматам</t>
  </si>
  <si>
    <t>стоимость</t>
  </si>
  <si>
    <t>кол-во(ед)</t>
  </si>
  <si>
    <t>статья</t>
  </si>
  <si>
    <t>(отбор к всерос.турн.) Москва</t>
  </si>
  <si>
    <t>В/б.Рождественск. волейбол-шоу</t>
  </si>
  <si>
    <t>Бокс.УТС к чемпионату Сибири</t>
  </si>
  <si>
    <t>Лыжные гонки памяти В.Смирнова</t>
  </si>
  <si>
    <t>Матчевая встреча памяти Лисицина по легкой атлетике</t>
  </si>
  <si>
    <t>Таблица 11</t>
  </si>
  <si>
    <t>Конькобежный спорт</t>
  </si>
  <si>
    <t>Дивногорск</t>
  </si>
  <si>
    <t>авт.10час</t>
  </si>
  <si>
    <t>Настольный теннис в зачет спартакиады ЗАТО Северск</t>
  </si>
  <si>
    <t>Футбол на улице в зачет городской Спартакиады</t>
  </si>
  <si>
    <t>КФКиС,РЦДДиПсОВ</t>
  </si>
  <si>
    <t>Шахматы.Матчевая встреча Ветераны</t>
  </si>
  <si>
    <t>Спорт.гимн.Первенство РФ</t>
  </si>
  <si>
    <t>г Чебоксары</t>
  </si>
  <si>
    <t>Л.А " Дружба"  среди школ ЗАТО Северск.</t>
  </si>
  <si>
    <t>1,3</t>
  </si>
  <si>
    <t>Мини-футбол. Первенство школ.</t>
  </si>
  <si>
    <t>Исполн. Карташов А.А. .  т. 54-99-19</t>
  </si>
  <si>
    <t>Лыжные гонки</t>
  </si>
  <si>
    <t>Барнаул</t>
  </si>
  <si>
    <t>Новоуральск</t>
  </si>
  <si>
    <t>с/к"Молодость"</t>
  </si>
  <si>
    <t>л/б"Янтарь"</t>
  </si>
  <si>
    <t>в/ч 3478,КФКиС</t>
  </si>
  <si>
    <t>КФКиС,МПЖХ</t>
  </si>
  <si>
    <t>Обслуживание соревнований</t>
  </si>
  <si>
    <t>статья 226</t>
  </si>
  <si>
    <t>статья 290</t>
  </si>
  <si>
    <t>ст. 222</t>
  </si>
  <si>
    <t>ст. 224</t>
  </si>
  <si>
    <t xml:space="preserve">ВСЕГО </t>
  </si>
  <si>
    <t>Таблица 16</t>
  </si>
  <si>
    <t xml:space="preserve">Обслуживание сор-ний </t>
  </si>
  <si>
    <t>статья 221</t>
  </si>
  <si>
    <t>статья 223</t>
  </si>
  <si>
    <t>семейный</t>
  </si>
  <si>
    <t>спортивный праздник</t>
  </si>
  <si>
    <t>шоколад</t>
  </si>
  <si>
    <t>Команд</t>
  </si>
  <si>
    <t>Исполнитель</t>
  </si>
  <si>
    <t>Б/б. Турнир пам. Ю.Н. Гумерова. ООШ (юн.)</t>
  </si>
  <si>
    <t>Спортивный праздник "День энергетика" среди МУП ГЭС, МУПТС</t>
  </si>
  <si>
    <t>Соревнования по плаванию среди работников организаций и предприятий 1,2,3 группа в зачет спартакиады</t>
  </si>
  <si>
    <t>Закрытие хоккейного сезона</t>
  </si>
  <si>
    <t>КФКиС, шк. п.Самусь</t>
  </si>
  <si>
    <t>Пробег по улицам города, посвященный дню рождения В.И.Ленина</t>
  </si>
  <si>
    <t>Л/а.Пробег посв.Ленину</t>
  </si>
  <si>
    <t>Город.спорт.Всерос.турнир памяти Синядьева</t>
  </si>
  <si>
    <t>Спорт.бальн.танцы. Откр.чемп.РФ</t>
  </si>
  <si>
    <t>Гири.Откр.лич.перв. Первомайского р-на</t>
  </si>
  <si>
    <t>Кубок города по настольному теннису</t>
  </si>
  <si>
    <t>Турнир им. Трофимчука по мини-футболу</t>
  </si>
  <si>
    <t>Первенство по греко-римской борьбе</t>
  </si>
  <si>
    <t>Кубок по спортивным бальным танцам</t>
  </si>
  <si>
    <t>Открытое первенство по настольному теннису</t>
  </si>
  <si>
    <t>Доприз.молодежная Спартакиада среди клубов</t>
  </si>
  <si>
    <t>Укрепление здоровья рабочих и служищих муниципальных предприятий, организаций.  Привлечение к систематическим занятиям физической культурой и спортом.</t>
  </si>
  <si>
    <t xml:space="preserve">Массовое вовлечение молодежи в занятия спортом. </t>
  </si>
  <si>
    <t>Повышение спортивного мастерства, подготовка спортивного резерва сборных команд города, области, России.</t>
  </si>
  <si>
    <t>армреслинг, веселые старты</t>
  </si>
  <si>
    <t xml:space="preserve"> лыж. инвент. 1000 чел.х20р.=20000р</t>
  </si>
  <si>
    <t xml:space="preserve"> лыж. базы. 1дн.х4000р.=4000р.</t>
  </si>
  <si>
    <t>среди жен. ком.</t>
  </si>
  <si>
    <t>240-афиши</t>
  </si>
  <si>
    <t>4,1</t>
  </si>
  <si>
    <t>Чемпионату РФ по спортивной гимнастике г.Кемерово</t>
  </si>
  <si>
    <t>137  340</t>
  </si>
  <si>
    <t>ujl</t>
  </si>
  <si>
    <t>краска 2кор х 40р</t>
  </si>
  <si>
    <t>шары 100шт х 1,5р</t>
  </si>
  <si>
    <t>диски 10шт х 20р</t>
  </si>
  <si>
    <t>кассеты 20шт х 15р</t>
  </si>
  <si>
    <t>физкультурно-массовой работы п.Самусь, п.Орловка</t>
  </si>
  <si>
    <t>статья 222</t>
  </si>
  <si>
    <t>Трансп.расходы</t>
  </si>
  <si>
    <t>Таблица 14</t>
  </si>
  <si>
    <t>КФКиС, шк.п.Самусь</t>
  </si>
  <si>
    <t>КФКиС,шк.п.Орловка</t>
  </si>
  <si>
    <t>Таблица 15</t>
  </si>
  <si>
    <t>Легкоатлетическая эстафета к 9 Мая</t>
  </si>
  <si>
    <t>Блиц-турнир к Дню Победы по шахматам</t>
  </si>
  <si>
    <t>ЖЭУ. Шашки</t>
  </si>
  <si>
    <t>ЖЭУ. Футбол в зачет спартакиады</t>
  </si>
  <si>
    <t>аренда 3чел х 10дн х 180р=5400</t>
  </si>
  <si>
    <t>2 сезона</t>
  </si>
  <si>
    <t>5000р-полиграфия</t>
  </si>
  <si>
    <t>рекл</t>
  </si>
  <si>
    <t>прод</t>
  </si>
  <si>
    <t>Полиатлон.Чемпионат города</t>
  </si>
  <si>
    <t>В/б(муж,жен) товарищеские встречи.</t>
  </si>
  <si>
    <t>Инвалиды.Товар.встр.в/б (жен) Северск-Томск</t>
  </si>
  <si>
    <t>Инвалиды. В/б (жен).</t>
  </si>
  <si>
    <t>Инвалиды. Н/т, дартс, шахм, м/ф,в/б (жен), посв.декаде инвалидов</t>
  </si>
  <si>
    <t xml:space="preserve">конкурсы: перетягивание каната </t>
  </si>
  <si>
    <t>Спортивный праздник, посвященный Дню 8 марта п.Орловка</t>
  </si>
  <si>
    <t>Спортивный праздник, посвященный Дню учителя п.Орловка</t>
  </si>
  <si>
    <t>врач (оплата в часах)</t>
  </si>
  <si>
    <t>врач (расчет в час.)</t>
  </si>
  <si>
    <t xml:space="preserve">            (м/с. оплата в час.)</t>
  </si>
  <si>
    <t>(ООШ,ДЮСШ)</t>
  </si>
  <si>
    <t>Испол. Карташов А.А. 54-99-19</t>
  </si>
  <si>
    <t xml:space="preserve">3.1 Проведение учебно-тренировочных сборов к Всероссийским турнирам, атомиаде, областным </t>
  </si>
  <si>
    <t>Сургут</t>
  </si>
  <si>
    <t>Руза</t>
  </si>
  <si>
    <t>Биатлон.УТС. г.Геленджик</t>
  </si>
  <si>
    <t>автобус 250р.х4ч.=1000р.</t>
  </si>
  <si>
    <t>Кубок России по многоборью по легкой атлетике г.Сочи</t>
  </si>
  <si>
    <t>Турнир им. Котенева по пулевой стрельбе г.Новосибирск</t>
  </si>
  <si>
    <t>Спорт.гимнастика.Кубок Сибири</t>
  </si>
  <si>
    <t>Русская лапта.Первенство РФ</t>
  </si>
  <si>
    <t>Фед.бюдж 20%</t>
  </si>
  <si>
    <t>Оклад</t>
  </si>
  <si>
    <t>Спартакиада оздоровительных лагерей при общеобразовательных школах, детско-юношеских спортивных школах, ЖЭУ</t>
  </si>
  <si>
    <t>"Спортленд" - спортивный праздник</t>
  </si>
  <si>
    <t>с.Первомайское</t>
  </si>
  <si>
    <t>1.4 Подготовка и участие сборных команд ЗАТО Северск в финальных соревнованиях областных спартакиад школьников</t>
  </si>
  <si>
    <t>полиграфия 2000р.</t>
  </si>
  <si>
    <t>2.1</t>
  </si>
  <si>
    <t>2.2</t>
  </si>
  <si>
    <t>Соревнование туристов " Папа, мама,я - спортивная семья"</t>
  </si>
  <si>
    <t>Спортивная игра "Поиск-2006" по туризму</t>
  </si>
  <si>
    <t>Спортивный праздник "Спорт для всех"</t>
  </si>
  <si>
    <t>ЖЭУ. Настольный теннис в зачет городской Спартакиады</t>
  </si>
  <si>
    <t>Конференция по легкой атлетике г.Новосибирск</t>
  </si>
  <si>
    <t>Конференция по плаванию г.Омск</t>
  </si>
  <si>
    <t>Конференция по борьбе дзюдо г.Красноярск</t>
  </si>
  <si>
    <t>Конференция по боксу г.Новосибирск</t>
  </si>
  <si>
    <t>Кубок Сибири по лыжам г.Новосибирск</t>
  </si>
  <si>
    <t>Всероссийский турнир Даймблера по борьбе греко-римской г.Абакан</t>
  </si>
  <si>
    <t>Чемпионат Кузбаса по легкой атлетике</t>
  </si>
  <si>
    <t>Всероссийский турнир Олейника по греко-римской борьбе г. Барнаул</t>
  </si>
  <si>
    <t>Объем финансирования</t>
  </si>
  <si>
    <t>в течение года</t>
  </si>
  <si>
    <t>Чемпионат и первенство по художественной гимнастике</t>
  </si>
  <si>
    <t>Спорт.праздник "Спорт для всех"</t>
  </si>
  <si>
    <t>ст 340</t>
  </si>
  <si>
    <t>ст 310</t>
  </si>
  <si>
    <t>ст 225</t>
  </si>
  <si>
    <t>ст 226</t>
  </si>
  <si>
    <t>ст 221</t>
  </si>
  <si>
    <t>ст 290</t>
  </si>
  <si>
    <t>Май</t>
  </si>
  <si>
    <t>Июнь</t>
  </si>
  <si>
    <t xml:space="preserve">2 автобуса х 5 час х 400 р=4000р </t>
  </si>
  <si>
    <t>Л/а.Всероссийский семинар г.Москва</t>
  </si>
  <si>
    <t>автобус х 13 час х 300р=3900р</t>
  </si>
  <si>
    <t>Соревнования по настольному теннису среди работников городских организаций 1,2,3 группа в зачет спартакиады</t>
  </si>
  <si>
    <t>КФКиС, с/к "Юпитер"</t>
  </si>
  <si>
    <t>1.1 дошкольники</t>
  </si>
  <si>
    <t>1.2 семинар по дошк.</t>
  </si>
  <si>
    <t>1.3 школы</t>
  </si>
  <si>
    <t>1.5 допризывная молодежь</t>
  </si>
  <si>
    <t>1.7 ЖЭУ</t>
  </si>
  <si>
    <t>1.8 дети оздоров</t>
  </si>
  <si>
    <t>2.1 инвалиды</t>
  </si>
  <si>
    <t>2.3 городск.орган.</t>
  </si>
  <si>
    <t>Соревнования по дельтапланерному спорту, посвященные Дню авиации</t>
  </si>
  <si>
    <t>Первенство по борьбе самбо</t>
  </si>
  <si>
    <t>Б/самбо.Всеросс. турн.Бородина</t>
  </si>
  <si>
    <t xml:space="preserve">       Мизина Л.А. т. 54-33-11</t>
  </si>
  <si>
    <t>Лыжи. УТС к всероссийск турниру</t>
  </si>
  <si>
    <t>УТС к первенству РФ по плаванию среди юниоров г.Пермь</t>
  </si>
  <si>
    <t>Всероссийский турнир Гаргаджия по боксу г.Новосибирск</t>
  </si>
  <si>
    <t>Шахматы.Спартакиада 1,2,3гр</t>
  </si>
  <si>
    <t>Шашки.Спартакиада 1,2,3гр</t>
  </si>
  <si>
    <t>Всероссийский турнир памяти Синдяева по городошному спорту г.Нижний Новгород</t>
  </si>
  <si>
    <t>Первенство школ города по волейболу (юн.,дев.)</t>
  </si>
  <si>
    <t>Лыжные гонки 1 тур. Первенство школ города</t>
  </si>
  <si>
    <t>Лыжные гонки 2 тур. Первенство школ города</t>
  </si>
  <si>
    <t>Первенство школ города по баскетболу (дев.)</t>
  </si>
  <si>
    <t>Первенство школ города по баскетболу (юн.)</t>
  </si>
  <si>
    <t>Турнир памяти Гумерова по баскетболу. ООШ (юн.)</t>
  </si>
  <si>
    <t>Региональные соревнования по туризму р.Козыр</t>
  </si>
  <si>
    <t>Легкоатлетический кросс</t>
  </si>
  <si>
    <t>Рождественский волейбол-шоу</t>
  </si>
  <si>
    <t>Всероссийский турнир по спортивной гимнастике "В краю кедровом"</t>
  </si>
  <si>
    <t>Шахматы межд.шахм.турнир г.Дивногорск</t>
  </si>
  <si>
    <t>Всероссийские соревнования по легкой атлетике на призы В.Маркина г.Новосибирск</t>
  </si>
  <si>
    <t>Легкая атлетика.Областной кросс.Кубок Раппа.г.Томск</t>
  </si>
  <si>
    <t>1.5</t>
  </si>
  <si>
    <t>1.6</t>
  </si>
  <si>
    <t>1.7</t>
  </si>
  <si>
    <t>1.8</t>
  </si>
  <si>
    <t>Чемпионат и первенство РФ по кинологическому спорту г.Москва</t>
  </si>
  <si>
    <t xml:space="preserve">      ведущий-сценарист</t>
  </si>
  <si>
    <t>Награждение смотра-конкурса по итогам работы за год</t>
  </si>
  <si>
    <t>Бокс.Турнир памяти Путина</t>
  </si>
  <si>
    <t>Туризм.Городской слет туристов</t>
  </si>
  <si>
    <t>Парусн.сп.День физкультурника</t>
  </si>
  <si>
    <t>Гири.День физкультурника</t>
  </si>
  <si>
    <t>В/б пляжный.День физкультурника</t>
  </si>
  <si>
    <t>скотч 2шт х 22,50р</t>
  </si>
  <si>
    <t>гуашь 5шт х 40р</t>
  </si>
  <si>
    <t>блокнот 20шт х 17,10р</t>
  </si>
  <si>
    <t>скрепки 20пач х 5р</t>
  </si>
  <si>
    <t>Формирование  потребности  и привлечения населения города, особенно детей и подростков к регулярным занятиям физической культурой и спортом посредством средств массовой информации, пропаганда здорового образа жизни, сохранение истории развития спорта в ЗАТО Северск</t>
  </si>
  <si>
    <t>Биатлон. Первенство России г.Екатеринбург</t>
  </si>
  <si>
    <t>Июль</t>
  </si>
  <si>
    <t>Август</t>
  </si>
  <si>
    <t>Новокузнецк</t>
  </si>
  <si>
    <t>Легкоатлетическая эстафета 9 мая</t>
  </si>
  <si>
    <t>В/б.Межд.турн.ветераны(м,ж)</t>
  </si>
  <si>
    <t>В/б.Кубок Мэра (муж,женщ)</t>
  </si>
  <si>
    <t>Красноярск</t>
  </si>
  <si>
    <t>Новосибирск</t>
  </si>
  <si>
    <t>Баскетбол</t>
  </si>
  <si>
    <t>Семинский перевал</t>
  </si>
  <si>
    <t>Шахматы</t>
  </si>
  <si>
    <t>ИТОГО за год</t>
  </si>
  <si>
    <t>Оформление наглядн.агитации</t>
  </si>
  <si>
    <t>Сочи</t>
  </si>
  <si>
    <t>Кемерово</t>
  </si>
  <si>
    <t>Финалы Хоккей и Полиатлон</t>
  </si>
  <si>
    <t>Финал областной спарт.шк.в с.Бакчар</t>
  </si>
  <si>
    <t>авт.48час</t>
  </si>
  <si>
    <t>Н/т.Спарт.гор.1,2,3 гр.          ГСБ</t>
  </si>
  <si>
    <t>врач (рассчит.в часах)</t>
  </si>
  <si>
    <t>фото 10шт х 20р=200</t>
  </si>
  <si>
    <t>Баскетбол. Пер-во 3 гр.        ГСБ</t>
  </si>
  <si>
    <t>Кинологический спорт. Чемпионат города. Кубок России (зимнее многоборье)</t>
  </si>
  <si>
    <t>Открытый турнир по тяжелой атлетике среди юношей</t>
  </si>
  <si>
    <t>Чемпионат города по стрельбе из табельного оружия</t>
  </si>
  <si>
    <t xml:space="preserve">Финал первенства по шахматам </t>
  </si>
  <si>
    <t>Подготовка и участие сборных команд ЗАТО Северск в областных, всероссийских, международных соревнованиях</t>
  </si>
  <si>
    <t>Первенство по волейболу среди женщин</t>
  </si>
  <si>
    <t>Спорт.форма н/тенниса</t>
  </si>
  <si>
    <t>Спорт.форма городки</t>
  </si>
  <si>
    <t>Спорт.форма гиревой спорт</t>
  </si>
  <si>
    <t xml:space="preserve">                врач (оплата в часах)</t>
  </si>
  <si>
    <t>автобус 250р х 4 час =1000</t>
  </si>
  <si>
    <t>Геленджик</t>
  </si>
  <si>
    <t>Н.Новгород</t>
  </si>
  <si>
    <t>Открытие сезона по пулевой стрельбе</t>
  </si>
  <si>
    <t>Орловка В/бол Перв. (муж.жен.)</t>
  </si>
  <si>
    <t>авт.2час. Х350р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</si>
  <si>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</si>
  <si>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</si>
  <si>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</si>
  <si>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</si>
  <si>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</si>
  <si>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</si>
  <si>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19</t>
  </si>
  <si>
    <t>Доприз.молод.</t>
  </si>
  <si>
    <t>9</t>
  </si>
  <si>
    <t>москва</t>
  </si>
  <si>
    <t>автоб п.Самусь 5час.х350руб.=1750руб</t>
  </si>
  <si>
    <t>автобус 350 руб.х 10 час.=3500 руб.</t>
  </si>
  <si>
    <t>аренда раздев.20дн.х 12ч.х 30рх2к=14400р.</t>
  </si>
  <si>
    <t>аренда лыж.базы 4720 руб часх 2</t>
  </si>
  <si>
    <t>бензин 350л х  20р =7000р</t>
  </si>
  <si>
    <t>ГСМ 1двигх5ч.х2дн.х14лх16руб.=2240</t>
  </si>
  <si>
    <t>бензин 1двигх5час.х2дн.х14лх16руб.=2240</t>
  </si>
  <si>
    <t>10дх4чх350=14000</t>
  </si>
  <si>
    <t>ст222</t>
  </si>
  <si>
    <t>ЕЖЕМЕСЯЧНО</t>
  </si>
  <si>
    <t>Оплата художнику по договору  (+23,1% ЕСН)</t>
  </si>
  <si>
    <t>Иркутск</t>
  </si>
  <si>
    <t>В/Б.Турнир поколений</t>
  </si>
  <si>
    <t>приезд судей</t>
  </si>
  <si>
    <t>Легкая атлетика</t>
  </si>
  <si>
    <t>Соревнования по футболу, армреслингу, дартсу среди инвалидов, посвященные Дню Защитника Отечества</t>
  </si>
  <si>
    <t>Спартакиада руководящих работников</t>
  </si>
  <si>
    <t>Спортивный праздник "День коммунального работника" среди работников организаций ПЖХ, СВК, КБУ, "Ресурс-7"</t>
  </si>
  <si>
    <t>Спортивный праздник "День ВВ МВД" в/ч 3478</t>
  </si>
  <si>
    <t>Фестиваль "Спортивная семья"</t>
  </si>
  <si>
    <t>КФКиС, МПЖХ</t>
  </si>
  <si>
    <t>из многодет.семей</t>
  </si>
  <si>
    <t>1</t>
  </si>
  <si>
    <t>2</t>
  </si>
  <si>
    <t>4</t>
  </si>
  <si>
    <t>5</t>
  </si>
  <si>
    <t>6</t>
  </si>
  <si>
    <t>7</t>
  </si>
  <si>
    <t>8</t>
  </si>
  <si>
    <t>Приложение № 3</t>
  </si>
  <si>
    <t xml:space="preserve">Приложение №4 </t>
  </si>
  <si>
    <t>Междугородний турнир по волейболу среди студенческих команд г.Северска и г.Томска</t>
  </si>
  <si>
    <t>IV. ПОДГОТОВКА И УЧАСТИЕ СБОРНЫХ КОМАНД ЗАТО СЕВЕРСК В ОБЛАСТНЫХ, ВСЕРОССИЙСКИХ, МЕЖДУНАРОДНЫХ СОРЕВНОВАНИЯХ</t>
  </si>
  <si>
    <t xml:space="preserve">Для работы в детских клубах по месту жительства с трудными подростками существуют 10 секций, проводятся </t>
  </si>
  <si>
    <t xml:space="preserve">городские Спартакиады по 6 видам спорта и летняя городская спартакиада оздоровительных лагерей. </t>
  </si>
  <si>
    <t>Л/а.Всероссийск.соревнов. В.Маркина</t>
  </si>
  <si>
    <t>Гири.Первенство и чемп.Томской обл</t>
  </si>
  <si>
    <t>Чемпионат Сибири по шахматам г.Новосибирск</t>
  </si>
  <si>
    <t>Пермь</t>
  </si>
  <si>
    <t>Всероссийский турнир по греко-римской борьбе г.Пермь</t>
  </si>
  <si>
    <t>Б/дзюдо.УТС к первенству РФ Минусинск</t>
  </si>
  <si>
    <t>Минусинск</t>
  </si>
  <si>
    <t>Спорт.гимн. конференция г.Москва</t>
  </si>
  <si>
    <t>Б/гр-римск. Междугор. Турнир г.Новокузнецк</t>
  </si>
  <si>
    <t>Б/гр.римск. Всероссийский турнир г.Омск</t>
  </si>
  <si>
    <t>Н/т.Новогодний турнир</t>
  </si>
  <si>
    <t>Б/гр-римск. Всерос.турн.Нестеренко</t>
  </si>
  <si>
    <t>аренда</t>
  </si>
  <si>
    <t>Конференция по л/а. Новосибирск</t>
  </si>
  <si>
    <t>Конференция по плаванию. Омск</t>
  </si>
  <si>
    <t>Конференция по дзюдо. Красноярск</t>
  </si>
  <si>
    <t>авт4час</t>
  </si>
  <si>
    <t>Первенство по волейболу среди мужчин 1 группы</t>
  </si>
  <si>
    <t>Налаживание дружеских связей среди инвалидов. Формирование сборных команд города к участию в областных соревнованиях</t>
  </si>
  <si>
    <t>Кубок Манежа по легкой атлетике г.Кемерово</t>
  </si>
  <si>
    <t>Легкоатлетические Рождественские старты г.Екатеринбург</t>
  </si>
  <si>
    <t>Финальные соревнования школьников по баскетболу, проводимые в г.Томске</t>
  </si>
  <si>
    <t>1500-медали,</t>
  </si>
  <si>
    <t>(в руб.)</t>
  </si>
  <si>
    <t xml:space="preserve"> из бюджета  ЗАТО Северск</t>
  </si>
  <si>
    <t xml:space="preserve">Объемы финансирования   за счет средств бюджета ЗАТО Северск                  (тыс. рублей)                                                                                             </t>
  </si>
  <si>
    <t xml:space="preserve">ГОДОВОЙ </t>
  </si>
  <si>
    <t>Подготовка наградного материала проводимых мероприятий</t>
  </si>
  <si>
    <t>Материально-техническое обеспечение проведения спортивно-массовых мероприятий</t>
  </si>
  <si>
    <t>Кадровое обеспечение физкультурно-оздоровительной и спортивно-массовой работы с населением</t>
  </si>
  <si>
    <t>VI. КАДРОВОЕ ОБЕСПЕЧЕНИЕ ФИЗКУЛЬТУРНО-ОЗДОРОВИТЕЛЬНОЙ И СПОРТИВНО-МАССОВОЙ РАБОТЫ с населением</t>
  </si>
  <si>
    <t xml:space="preserve">VI. КАДРОВОЕ ОБЕСПЕЧЕНИЕ ОРГАНИЗАЦИИ ФИЗКУЛЬТУРНО-ОЗДОРОВИТЕЛЬНОЙ И СПОРТИВНО-МАССОВОЙ РАБОТЫ С НАСЕЛЕНИЕМ НА 2007 ГОД </t>
  </si>
  <si>
    <t xml:space="preserve">Приобретение оборудования длительного пользования для обеспечения соревновательного процесса, проведения городских спортивно-массовых мероприятий, участия в областных и региональных соревнованиях </t>
  </si>
  <si>
    <t>Оплата услуг междугородней телефонной связи и электронной почты при организации Всероссийских,  областных турниров и спортивных мероприятий ЗАТО Северск</t>
  </si>
  <si>
    <t>КФКиС, с/к "Надежда"</t>
  </si>
  <si>
    <t>награжд. 5 лучш.юных спортсменов</t>
  </si>
  <si>
    <t>награжд.7 лучших тренеров</t>
  </si>
  <si>
    <t>Турнир "Весенняя фантазия" по спортивным бальным танцам</t>
  </si>
  <si>
    <t>Блиц-турнир к дню Победы по шашкам</t>
  </si>
  <si>
    <t>текущий авторемонт</t>
  </si>
  <si>
    <t>шины</t>
  </si>
  <si>
    <t>Привлечение трудных подростков и детей из неблагоприятных семей к регулярным занятиям физической культурой и спортом. Отвлечение от улицы, вредных привычек. Занятие подростков во внеурочное время. Передача перспективных детей в детские спортивные школы</t>
  </si>
  <si>
    <t>Служ.собаков.Зим.многоборье посв. Сафарову</t>
  </si>
  <si>
    <t>Заринкс</t>
  </si>
  <si>
    <t>1.</t>
  </si>
  <si>
    <t>2.</t>
  </si>
  <si>
    <t>3.</t>
  </si>
  <si>
    <t>4.</t>
  </si>
  <si>
    <t>5.</t>
  </si>
  <si>
    <t>6.</t>
  </si>
  <si>
    <t>7.</t>
  </si>
  <si>
    <t>8.</t>
  </si>
  <si>
    <t>Учебно-тренировочные сборы</t>
  </si>
  <si>
    <t xml:space="preserve">Фестиваль нац. Видов </t>
  </si>
  <si>
    <t>Спорт.форма баскетбольная</t>
  </si>
  <si>
    <t>Мячи баскетбольные</t>
  </si>
  <si>
    <t>Палки лыжные</t>
  </si>
  <si>
    <t>Ботинки лыжные</t>
  </si>
  <si>
    <t>Приобретение парафинов, смазки</t>
  </si>
  <si>
    <t>Шиповки</t>
  </si>
  <si>
    <t>спортивной формы и инвентаря для работы с инвалидами</t>
  </si>
  <si>
    <t>Ракетка настольного тенниса</t>
  </si>
  <si>
    <t>полиграф.продукция - 6000р.</t>
  </si>
  <si>
    <t>оформление зала - 1426р.</t>
  </si>
  <si>
    <t>проезд- 6700р., сут.100р.х4дн.=400р., гост.150р.х3дн.=450р.</t>
  </si>
  <si>
    <t>КФКиС, федер.гр.рим.</t>
  </si>
  <si>
    <t>КФКиС, федер.бокса</t>
  </si>
  <si>
    <t xml:space="preserve"> гост.150р.х2чел.х4дн.=1200р.</t>
  </si>
  <si>
    <t>Кол.чел</t>
  </si>
  <si>
    <t>Груп</t>
  </si>
  <si>
    <t>Спорт.праздник, посв.Дню защит.отеч.</t>
  </si>
  <si>
    <t>Мест.бюджет</t>
  </si>
  <si>
    <t>п.Учум Краснод.</t>
  </si>
  <si>
    <t>Междуреченск</t>
  </si>
  <si>
    <t>КФКиС,</t>
  </si>
  <si>
    <t>КФКиС,УО</t>
  </si>
  <si>
    <t>Мест.бюдж.</t>
  </si>
  <si>
    <t>Мест.бюдж</t>
  </si>
  <si>
    <t>Спортивный праздник,посвященный Дню защитника отечества среди работников городских организации и предприятий</t>
  </si>
  <si>
    <t>Итого 3.4</t>
  </si>
  <si>
    <t>свад</t>
  </si>
  <si>
    <t>Итого по 2,2</t>
  </si>
  <si>
    <t>Пауэрлиф.Чемп.Центр.Азии</t>
  </si>
  <si>
    <t>Н/т.Открытое перв.Алтайского края</t>
  </si>
  <si>
    <t>КфКиС</t>
  </si>
  <si>
    <t>Л/а. Эстафета 9 Мая</t>
  </si>
  <si>
    <t>Спартак.в честь дня комсомола</t>
  </si>
  <si>
    <t>авт.4час</t>
  </si>
  <si>
    <t>1.1</t>
  </si>
  <si>
    <t>1.2</t>
  </si>
  <si>
    <t>1.3</t>
  </si>
  <si>
    <t>1.4</t>
  </si>
  <si>
    <t>Чемпионат Красноярского края по лыжным гонкам</t>
  </si>
  <si>
    <t>Доприз.молод.Спартакиада среди спортивных клубов</t>
  </si>
  <si>
    <t>Зимняя областная спартакиада  допризывной молодежи                             в п. Зональном</t>
  </si>
  <si>
    <t>Отраслевая спартакиада среди допризывной молодежи                                 в г. Новоуральск</t>
  </si>
  <si>
    <t>Летняя областная спартакиада среди допризывной молодежи в п.Кожевниково</t>
  </si>
  <si>
    <t>КФКиС, РФСО "Атом-Спорт"</t>
  </si>
  <si>
    <t>Т/а. УТС к всероссийск турниру</t>
  </si>
  <si>
    <t>налог на экологию</t>
  </si>
  <si>
    <t>оплата по договору</t>
  </si>
  <si>
    <t>типогр</t>
  </si>
  <si>
    <t xml:space="preserve">Спортивный праздник, посвященный Дню речника </t>
  </si>
  <si>
    <t>Спорт.празд."День энергетика" МУП ГЭС, МУПТС</t>
  </si>
  <si>
    <t>ЖЭУ.Спорт-массов.меропр. внутриклуб</t>
  </si>
  <si>
    <t>Первенство по водным лыжам</t>
  </si>
  <si>
    <t>1.1 Проведение городских спортивных мероприятий с дошкольниками</t>
  </si>
  <si>
    <t xml:space="preserve">  </t>
  </si>
  <si>
    <t>Шашки</t>
  </si>
  <si>
    <t>Организация автотранспорта на спортивные мероприятия, проводимые в г.Томске</t>
  </si>
  <si>
    <t>Юбиляры</t>
  </si>
  <si>
    <t>Аренда</t>
  </si>
  <si>
    <t>Транспорт</t>
  </si>
  <si>
    <t>Этот инвентарь предназначен для сбор. команд города, которые будут участвовать в областных сорев.</t>
  </si>
  <si>
    <t>Городошный спорт</t>
  </si>
  <si>
    <t>Гири.УТС к первенству РФ</t>
  </si>
  <si>
    <t>Гири.УТС к чемпионату РФ</t>
  </si>
  <si>
    <t>Лыжи.УТС Первенство РФ. г.Заринкс</t>
  </si>
  <si>
    <t>КФКиС,ГВК</t>
  </si>
  <si>
    <t>Ежемесячно</t>
  </si>
  <si>
    <t>Север.муз. Театр</t>
  </si>
  <si>
    <t>Груз.маш. 190рх6ч.=1140р.</t>
  </si>
  <si>
    <t>автобус 10чх370р=3700 р.</t>
  </si>
  <si>
    <t xml:space="preserve">Кинологический спорт. </t>
  </si>
  <si>
    <t>Всероссийский турнир "Дружба народов" по борьбе дзюдо г.Новосибирск</t>
  </si>
  <si>
    <t>Наименование</t>
  </si>
  <si>
    <t xml:space="preserve">Кол-во </t>
  </si>
  <si>
    <t>Исполнит.</t>
  </si>
  <si>
    <t>Итого по 1.5</t>
  </si>
  <si>
    <t>Итого по 1.6</t>
  </si>
  <si>
    <t>№</t>
  </si>
  <si>
    <t>Пул.стрельба.Открытие сезона</t>
  </si>
  <si>
    <t>врач (рассчит. в часах)</t>
  </si>
  <si>
    <t>Всероссийский турнир Шумакова по греко-римской борьбе г.Красноярск</t>
  </si>
  <si>
    <t>ВСК"Долг".Военизированный кросс г.Томск</t>
  </si>
  <si>
    <t xml:space="preserve">Всероссийский турнир заслуженного тренера СССР Облыгина по художественной гимнастике г.Екатеринбург </t>
  </si>
  <si>
    <t>декабрь</t>
  </si>
  <si>
    <t>май</t>
  </si>
  <si>
    <t>Самусь</t>
  </si>
  <si>
    <t>КФКиС,Атомспорт</t>
  </si>
  <si>
    <t>Железногорск</t>
  </si>
  <si>
    <t xml:space="preserve">Итого за месяц </t>
  </si>
  <si>
    <t>КФКиС, УВД</t>
  </si>
  <si>
    <t>КФКиС,ПАТП</t>
  </si>
  <si>
    <t>Зимнее многоборье памяти Сафарова по служебному собаководству</t>
  </si>
  <si>
    <t>Полиатлон УТС г.Анапа</t>
  </si>
  <si>
    <t>бумага писчая 50пач х 63,5р</t>
  </si>
  <si>
    <t>Гири.Турн.Пекарского</t>
  </si>
  <si>
    <t>фломастеры 10комп х 65р</t>
  </si>
  <si>
    <t>клей 20шт х 8р</t>
  </si>
  <si>
    <t>Оформление уголка здоровья "Спорт против наркотиков"</t>
  </si>
  <si>
    <t>Каратэ</t>
  </si>
  <si>
    <t>I,II группа</t>
  </si>
  <si>
    <t xml:space="preserve"> Март</t>
  </si>
  <si>
    <t xml:space="preserve">Изготовление наглядного материала </t>
  </si>
  <si>
    <t xml:space="preserve">награжд. 10 лучш.спортсменов </t>
  </si>
  <si>
    <t xml:space="preserve">вымпела </t>
  </si>
  <si>
    <t>ст.224</t>
  </si>
  <si>
    <t>ст.222</t>
  </si>
  <si>
    <t>ручки 70шт х 10р</t>
  </si>
  <si>
    <t>ИТОГО 1 КВ.</t>
  </si>
  <si>
    <t xml:space="preserve">ИТОГО 2 кв </t>
  </si>
  <si>
    <t>Спортивный праздник, посвященный Дню защитников Отечества СГТА СПК, в/ч, ПУ-10, ПУ-32</t>
  </si>
  <si>
    <t>ИТОГО  1 кв</t>
  </si>
  <si>
    <t xml:space="preserve">ИТОГО 3 кв </t>
  </si>
  <si>
    <t xml:space="preserve">ИТОГО 1 КВ </t>
  </si>
  <si>
    <t>ИТОГО 2 кв.</t>
  </si>
  <si>
    <t xml:space="preserve">ИТОГО 4 кв </t>
  </si>
  <si>
    <t>ИТОГО 1 КВ</t>
  </si>
  <si>
    <t>ИТОГО 2 КВ</t>
  </si>
  <si>
    <t>,</t>
  </si>
  <si>
    <t>Спорт.праздник "День коммун. работника" ПЖХ, СВК, КБУ, ЦМСЧ 81</t>
  </si>
  <si>
    <t>Спорт.празд УГПС №8.."Средства масс.информации"</t>
  </si>
  <si>
    <t xml:space="preserve">       Мизина Л.А. т. 52-33-11</t>
  </si>
  <si>
    <t>Исполн.Мизина Л.А. т. 52-33-11</t>
  </si>
  <si>
    <t>Первенство по баскетболу 3 группа в зачет спартакиады</t>
  </si>
  <si>
    <t>Турнир Пекарского по гиревому спорту п.Самусь</t>
  </si>
  <si>
    <t>судьи                  (расчет в играх)</t>
  </si>
  <si>
    <t>аренда 6час х 170р=1020р</t>
  </si>
  <si>
    <t>Плавание.                            ГСБ</t>
  </si>
  <si>
    <t>Спартакиада 1,2.3 гр.       судьи</t>
  </si>
  <si>
    <t>аренда 250час х 20р=5000р</t>
  </si>
  <si>
    <t>Весенний л/а кросс 1,2,3 гр.</t>
  </si>
  <si>
    <t xml:space="preserve">                                                  ГСБ</t>
  </si>
  <si>
    <t>День физкультурника. Нагржд.</t>
  </si>
  <si>
    <t>м/зал Администр</t>
  </si>
  <si>
    <t>В/б. Перв-во  кфк 1,2,3 гр.</t>
  </si>
  <si>
    <t>зам.гл.судьи</t>
  </si>
  <si>
    <t>среди жен.команд (судьи в играх)</t>
  </si>
  <si>
    <t xml:space="preserve"> судьи расчет в играх </t>
  </si>
  <si>
    <t>зам. гл. судьи соревнований</t>
  </si>
  <si>
    <t>афиша 20шт.х30р.=600р.</t>
  </si>
  <si>
    <t>зам. глав. судьи</t>
  </si>
  <si>
    <t>В/б. Перв-во кфк 1,2,3 групп среди мужских команд 1,2,3 гр.</t>
  </si>
  <si>
    <t>судьи , расчет в играх</t>
  </si>
  <si>
    <t xml:space="preserve">Итог. спорт.празд.по итогам </t>
  </si>
  <si>
    <t>спартакиады "Спорт для всех"</t>
  </si>
  <si>
    <t>фото 20шт х 15р=300р</t>
  </si>
  <si>
    <t>"Лыжня здоровья" кфк 1,2,3 гр.</t>
  </si>
  <si>
    <t>Гиревой спорт</t>
  </si>
  <si>
    <t>Спортивная гимнастика</t>
  </si>
  <si>
    <t>Шахм.Мемориал Н.Измайлова</t>
  </si>
  <si>
    <t>(Этап Кубка России) Томск</t>
  </si>
  <si>
    <t>авт.6час.</t>
  </si>
  <si>
    <t>КФКиС,УО, ДСШ</t>
  </si>
  <si>
    <t>Открытое первенство города по дельтапланерному спорту</t>
  </si>
  <si>
    <t>Соревнования, посвященные Дню Защитника Отечества по пулевой стрельбе</t>
  </si>
  <si>
    <t>С/к"Надежда " настольный теннис</t>
  </si>
  <si>
    <t>Клубы по техническим и военно-прикладным видам спорта</t>
  </si>
  <si>
    <t>Хоккей.Открытие зимнего сезона</t>
  </si>
  <si>
    <t>Коньки.УТС к кубку РФ</t>
  </si>
  <si>
    <t>Коньки.Закрытие сезона</t>
  </si>
  <si>
    <t>Пауэрлифтинг.УТС к чемп.РФ</t>
  </si>
  <si>
    <t>Парусн.спорт.День ВМФ</t>
  </si>
  <si>
    <t>Открытое личное первенство по тяжелой атлетике</t>
  </si>
  <si>
    <t>КФКиС, с/к "Химик"</t>
  </si>
  <si>
    <t>Первенство по волейболу в зачет спартакиады</t>
  </si>
  <si>
    <t xml:space="preserve">соревнований и необходим данный инвентарь. Футболки необходимы для экипировки сборных команд детских </t>
  </si>
  <si>
    <t>Всероссийский турнир Кишицкого по борьбе греко-римской г.Новокузнецк</t>
  </si>
  <si>
    <t>Всероссийский семинар по легкой атлетике г.Москва</t>
  </si>
  <si>
    <t>Легкая атлетика. Чемпионат по эстафетному бегу г.Сочи</t>
  </si>
  <si>
    <t>Легкая атлетика.Пробег памяти Удута. г.Томск</t>
  </si>
  <si>
    <t>Открытый чемпионат по легкой атлетике г.Томск</t>
  </si>
  <si>
    <t>Первенство России среди УОР по легкой атлетике г.Сочи</t>
  </si>
  <si>
    <t>Костюмы спортивно-тренировочные</t>
  </si>
  <si>
    <t>Участие и подготовка сборной команды ЗАТО Северск к областной Спартакиаде допризывной молодежи</t>
  </si>
  <si>
    <t>КФКиС,СПК, ПУ-10</t>
  </si>
  <si>
    <t>КФКиС, СГТИ, СПК, в/ч, ПУ-10, ПУ-32</t>
  </si>
  <si>
    <t>Лыжные гонки. Открытие сезона</t>
  </si>
  <si>
    <t>Лыжные гонки. Памяти судей</t>
  </si>
  <si>
    <t>Лыжные гонки. Закрытие лыжн.сезона</t>
  </si>
  <si>
    <t>Фестиваль для детей из многодетных семей</t>
  </si>
  <si>
    <t>Спортивно-массовые мероприятия внутриклубные среди ЖЭУ</t>
  </si>
  <si>
    <t>Л/а.УТС и Кубок РФ г.Сочи</t>
  </si>
  <si>
    <t>ВСК"Долг"Военноспортивное многоборье" г.Асино</t>
  </si>
  <si>
    <t>Кубок Сибири по лыжным гонкам г.Новосибирск</t>
  </si>
  <si>
    <t>Первенство Томской области по настольному теннису</t>
  </si>
  <si>
    <t>Кубок Томской области по пауэрлифтингу</t>
  </si>
  <si>
    <t>Для работы с инвалидами в Комитете по ФКиС существуют 6 секций по настольному теннису, волейболу, футболу,</t>
  </si>
  <si>
    <t>Турнир поколений по волейболу</t>
  </si>
  <si>
    <t>Кубок Мэра по волейболу среди мужчин,женщин</t>
  </si>
  <si>
    <t>Ремонт мебели</t>
  </si>
  <si>
    <t>Итого по V р.</t>
  </si>
  <si>
    <t>7.2</t>
  </si>
  <si>
    <t>Итого по YIII р.</t>
  </si>
  <si>
    <t>5.1 Коммунальнальное содержание клубов</t>
  </si>
  <si>
    <t xml:space="preserve">VII.ИНФОРМАЦИОННАЯ, ОБРАЗОВАТЕЛЬНО-ПРОСВЕТИТЕЛЬСКАЯ И РЕКЛАМНАЯ ДЕЯТЕЛЬНОСТЬ </t>
  </si>
  <si>
    <t>7.2. Изготовление грамот, вымпелов, медалей, приобретение наградного материала</t>
  </si>
  <si>
    <t>7.1. Освещение текущих спортивных событий в средствах массовой информации ЗАТО Северск</t>
  </si>
  <si>
    <t>YIII.МАТЕРИАЛЬНО-ТЕХНИЧЕСКОЕ ОБЕСПЕЧЕНИЕ ПРОВЕДЕНИЯ ГОРОДСКИХ СПОРТИВНО-МАССОВЫХ МЕРОПРИЯТИЙ</t>
  </si>
  <si>
    <t>40штх1000</t>
  </si>
  <si>
    <t>Автомобиль ГАЗЕЛЬ</t>
  </si>
  <si>
    <t>5.1 Коммунальное содержание клубов</t>
  </si>
  <si>
    <t>6.1 Внештатный фонд</t>
  </si>
  <si>
    <t xml:space="preserve">3.3 Проведение чемпионатов и первенств ЗАТО Северск по видам спорта </t>
  </si>
  <si>
    <t>Чемпионат ЗАТО Северск и Кубок России по академическому двоеборью</t>
  </si>
  <si>
    <t>Кубок по баскетболу</t>
  </si>
  <si>
    <t>Первенство по баскетболу</t>
  </si>
  <si>
    <t>3.3 Проведение чемпионатов и первенств ЗАТО Северск по видам спорта</t>
  </si>
  <si>
    <t>Первенство по зимнему футболу 1,2 группа</t>
  </si>
  <si>
    <t>Первенство п.Орловка по шашкам</t>
  </si>
  <si>
    <t>Спортивный вечер по итогам года п.Орловка</t>
  </si>
  <si>
    <t>скотч узкий 15шт х 12р</t>
  </si>
  <si>
    <t>ватман 20лист х 12р</t>
  </si>
  <si>
    <t>карандаш 150шт х 3р</t>
  </si>
  <si>
    <t>Таблица 22</t>
  </si>
  <si>
    <t>Исполнит. Савицкая А.К. т. 4-11-04</t>
  </si>
  <si>
    <t>Местный</t>
  </si>
  <si>
    <t xml:space="preserve">Судомодельный спорт Чемпионат </t>
  </si>
  <si>
    <t>Шашки.Турнир за звание чемпиона</t>
  </si>
  <si>
    <t>7туров х</t>
  </si>
  <si>
    <t>4 игры х 16 бут.</t>
  </si>
  <si>
    <t xml:space="preserve">1.2 Проведение массовых физкультурно-оздоровительных и спортивных мероприятий  </t>
  </si>
  <si>
    <t>Повышение спортивного мастерства, подготовка спортивного резерва в сборные команды города, области, России. Выполнение требований единой всероссийской классификации. Усовершенствование системы подготовки к чемпионатам области, атомиадам, всероссийским соревнованиям. Повышение престижа молодежи, занимающихся физической культуры и спорта. Выполнение спортсменами объемов тренировочных и соревновательных нагрузок, предусмотренных индивидуальными планами подготовки. Стабильность результатов выступления во всероссийских и международных соревнованиях.</t>
  </si>
  <si>
    <t>Подготовка буклетов:</t>
  </si>
  <si>
    <t>"История создания спрот. клубов, положительный опыт работы"</t>
  </si>
  <si>
    <t>"Опыт работы с детским клубами по месту жительства"</t>
  </si>
  <si>
    <t>ветераны спорта, профессиональные работники, ф.актив</t>
  </si>
  <si>
    <t>юбилеи коллективов физкультуры</t>
  </si>
  <si>
    <t>памятная и ритуальная атрибутика</t>
  </si>
  <si>
    <t>Итого по I р.</t>
  </si>
  <si>
    <t>Итого по II р.</t>
  </si>
  <si>
    <t>Итого по III р.</t>
  </si>
  <si>
    <t>Итого по IV р.</t>
  </si>
  <si>
    <t>Итого по VI р.</t>
  </si>
  <si>
    <t>Итого по VII р.</t>
  </si>
  <si>
    <t>Таблица 1</t>
  </si>
  <si>
    <t>Таблица 2</t>
  </si>
  <si>
    <t>1.3 Проведение физкультурно-массовых мероприятий с учащимися бщеобразовательных школ</t>
  </si>
  <si>
    <t>3.2 Проведение Всероссийских турниров в ЗАТО Северск</t>
  </si>
  <si>
    <t xml:space="preserve">Оплата за размещение информационного и тематического материала в газетах "Новое время", "Диалог" о проводимых спортивных мероприятиях   </t>
  </si>
  <si>
    <t xml:space="preserve">Оплата по догов.с МУП ИА "Радио-Северск" </t>
  </si>
  <si>
    <t>Оплата по догов. с ООО "Северская телекомпания"</t>
  </si>
  <si>
    <t xml:space="preserve">Оплата по договору с МУП ИА "Радио-Северск" </t>
  </si>
  <si>
    <t>Оплата по договору с ООО "Северская телекомпания" за информационные и тематические передачи, фильмы</t>
  </si>
  <si>
    <t>Кубок Хакасии по лыжным гонкам.Тейя</t>
  </si>
  <si>
    <t>Тейя</t>
  </si>
  <si>
    <t>Первенство РФ по пауэрлифтингу г.Владимир</t>
  </si>
  <si>
    <t>Кубок РФ по пауэрлифтингу г.Казань</t>
  </si>
  <si>
    <t>Первенство школ города по легкой атлетике</t>
  </si>
  <si>
    <t>Легкоатлетический кросс среди школ города</t>
  </si>
  <si>
    <t>Первенство по русской лапте среди школ города (юн.)</t>
  </si>
  <si>
    <t>Семинар для преподавателей ДЮСШ</t>
  </si>
  <si>
    <t>Конференция по легкой атлетике</t>
  </si>
  <si>
    <t>Лыжи</t>
  </si>
  <si>
    <t>Спорт.гимн.УТС к чемпионату РФ Ленинск-Кузнецкий</t>
  </si>
  <si>
    <t>Электро-энергия</t>
  </si>
  <si>
    <t>Приобретение спортивного инвентаря для проведения</t>
  </si>
  <si>
    <t>спартакиады допризывной молодежи</t>
  </si>
  <si>
    <t>Пули</t>
  </si>
  <si>
    <t>вымпел</t>
  </si>
  <si>
    <t>автоб 300р.х 10час. х 2 раза = 6000р.</t>
  </si>
  <si>
    <t xml:space="preserve">Организация и проведение физкультурно массовой работы по месту жительства </t>
  </si>
  <si>
    <t>Основные мероприятия</t>
  </si>
  <si>
    <t>Организация работы спортивно-технических клубов</t>
  </si>
  <si>
    <t>Внештатный фонд</t>
  </si>
  <si>
    <t>Коммунальное содержание клубов</t>
  </si>
  <si>
    <t>блокнот 20шт х 14р</t>
  </si>
  <si>
    <t>скоросшиватели 8шт х 10р</t>
  </si>
  <si>
    <t>ручки 10шт х 10,20р</t>
  </si>
  <si>
    <t>папки 20шт х 6р</t>
  </si>
  <si>
    <t>Клюшка хок</t>
  </si>
  <si>
    <t>Допр.молодеж.Зимняя обл.спарт.</t>
  </si>
  <si>
    <t>Кол.гр.</t>
  </si>
  <si>
    <t>бумага ксероксн.98пач х 115р</t>
  </si>
  <si>
    <t>кубки</t>
  </si>
  <si>
    <t>Первенство по русской лапте среди школ города (дев.)</t>
  </si>
  <si>
    <t>Первенство школ города "Белая ладья"</t>
  </si>
  <si>
    <t>ВСК"Долг".Тактическая игра "Полигон-2006"</t>
  </si>
  <si>
    <t>Всероссийский турнир по греко-римской борьбе Слепцова</t>
  </si>
  <si>
    <t>Всероссийский турнир Кудрина по боксу г.Зеленогорск</t>
  </si>
  <si>
    <t>Кубок Сибири по спортивной гимнастике г.Ленинск-Кузнецк</t>
  </si>
  <si>
    <t>4.2 Медицинское обеспечение и врачебный контроль</t>
  </si>
  <si>
    <t>Л/а. Первенство России среди УОР</t>
  </si>
  <si>
    <t>КФКиС, детский дом</t>
  </si>
  <si>
    <t>КФКиС, ШСК"ВИД"</t>
  </si>
  <si>
    <t>Чемпионат ЗАТО по судомодельному спорту</t>
  </si>
  <si>
    <t>Раздел</t>
  </si>
  <si>
    <t>Мини-футбол</t>
  </si>
  <si>
    <t>январь</t>
  </si>
  <si>
    <t>Северск</t>
  </si>
  <si>
    <t>октябрь</t>
  </si>
  <si>
    <t xml:space="preserve"> Новосибирск</t>
  </si>
  <si>
    <t>УТС к турниру Л.Егоровой по лыжным гонкам</t>
  </si>
  <si>
    <t>УТС к первенству РФ по пулевой стрельбе</t>
  </si>
  <si>
    <t>русская лапта</t>
  </si>
  <si>
    <t>II кв.</t>
  </si>
  <si>
    <t>III кв.</t>
  </si>
  <si>
    <t>IV кв.</t>
  </si>
  <si>
    <t>Отраслевая спартакиада среди допризывной молодежи в п.Лесной</t>
  </si>
  <si>
    <t>Областная спартакиада среди допризывной молодежи в п.Кожевниково</t>
  </si>
  <si>
    <t>Первенство по городошному спорту среди школ города</t>
  </si>
  <si>
    <t>Наградной материал и метод литература</t>
  </si>
  <si>
    <t xml:space="preserve">Награждение юбиляров </t>
  </si>
  <si>
    <t>Спортивный праздник "День милиции" среди работников УВД</t>
  </si>
  <si>
    <t>клей 4шт х 9р</t>
  </si>
  <si>
    <t>ватман 15лист х 5р</t>
  </si>
  <si>
    <t>скоросшиватели 15шт х 10р</t>
  </si>
  <si>
    <t>бейджик 15шт х 12р</t>
  </si>
  <si>
    <t>Соревнования по шахматам, посвященный Дню Защитника Отечества п.Самусь</t>
  </si>
  <si>
    <t xml:space="preserve">Первенство п.Самусь по баскетболу </t>
  </si>
  <si>
    <t>июнь</t>
  </si>
  <si>
    <t>август</t>
  </si>
  <si>
    <t>июль</t>
  </si>
  <si>
    <t>и Межд.турн.памяти Ю.Назаренко</t>
  </si>
  <si>
    <t>Итого по 1.1</t>
  </si>
  <si>
    <t>КФКиС, СГТИ, СПК, в/ч, ПУ-10, ПУ-33</t>
  </si>
  <si>
    <t>КФКиС, СГТИ, СПК, в/ч, ПУ-10, ПУ-34</t>
  </si>
  <si>
    <t>КФКиС, СГТИ, СПК, в/ч, ПУ-10, ПУ-35</t>
  </si>
  <si>
    <t>КФКиС, СГТИ, СПК, в/ч, ПУ-10, ПУ-36</t>
  </si>
  <si>
    <t>Орловка</t>
  </si>
  <si>
    <t>Греко-рим.б/б Первенство</t>
  </si>
  <si>
    <t>Чемпионат ЗАТО Северск</t>
  </si>
  <si>
    <t>Освещение текущих спортивных событий в средствах массовой информации ЗАТО Северск</t>
  </si>
  <si>
    <t>1.3 Проведение физкультурно-массовых мероприятий с учащимися общеобразовательных школ</t>
  </si>
  <si>
    <t>КФКиС, РЦДДиП сОВ</t>
  </si>
  <si>
    <t>КФКиС,  МУ "Молодежный театр "Наш мир"</t>
  </si>
  <si>
    <t>Первенство ЗАТО Северск среди учащихся школ по настольному теннису</t>
  </si>
  <si>
    <t>Первенство школ ЗАТО Северск по мини-футболу</t>
  </si>
  <si>
    <t>Л/г 1 тур. Первенство школ ЗАТО Северск</t>
  </si>
  <si>
    <t>Коньки. Первенство школ ЗАТО Северск</t>
  </si>
  <si>
    <t>Л/г 2 тур. Первенство школ ЗАТО Северск</t>
  </si>
  <si>
    <t>Гиревой спорт. Первенство школ ЗАТО Северск.</t>
  </si>
  <si>
    <t>Л/а. Первенство школ ЗАТО Северск.</t>
  </si>
  <si>
    <t>Городошный спорт. Первенство школ ЗАТО Северск.</t>
  </si>
  <si>
    <t>Л/а кросс среди школ ЗАТО Северск.</t>
  </si>
  <si>
    <t>Русская лапта (юн.). Первенство школ ЗАТО Северск.</t>
  </si>
  <si>
    <t>Шахматы "Белая ладья". Первенство школ ЗАТО Северск.</t>
  </si>
  <si>
    <t>Б/б (дев). Первенство школ ЗАТО Северск.</t>
  </si>
  <si>
    <t>Р/л (дев). Первенство школ ЗАТО Северск.</t>
  </si>
  <si>
    <t>2/2</t>
  </si>
  <si>
    <t xml:space="preserve">1.8 Проведение физкультурно-массовых мероприятий в оздоровительных лагерях </t>
  </si>
  <si>
    <t>Таблица 10</t>
  </si>
  <si>
    <t>Исполн. Мизина Л.А. 52-33-11</t>
  </si>
  <si>
    <t>Таблица12</t>
  </si>
  <si>
    <t>Таблица 13</t>
  </si>
  <si>
    <t>Таблица 17</t>
  </si>
  <si>
    <t>Исполн. Савицкая А.К. т. 54-11-04</t>
  </si>
  <si>
    <t>Исполн. Подкина Т.В. Т. 54-69-10</t>
  </si>
  <si>
    <t>Ракетка для н/тенниса</t>
  </si>
  <si>
    <t>Шарик для н/тенниса</t>
  </si>
  <si>
    <t>Сетка для н/тенниса</t>
  </si>
  <si>
    <t>2пара х 7000р.</t>
  </si>
  <si>
    <t>2пара х 4000р.</t>
  </si>
  <si>
    <t>2пара х 2500р.</t>
  </si>
  <si>
    <t>2шт. х 3000</t>
  </si>
  <si>
    <t>1комп. х 10чел.х 480р.</t>
  </si>
  <si>
    <t>Электролампы</t>
  </si>
  <si>
    <t>Проведение спортивно-массовых мероприятий подростков и молодежи</t>
  </si>
  <si>
    <t>Обеспечение досуга детей и подростков с целью профилактики правонарушений средствами физической культуры и спорта</t>
  </si>
  <si>
    <t>Оформление наглядной агитации</t>
  </si>
  <si>
    <t>Спортивные бальные танцы</t>
  </si>
  <si>
    <t>Кинологическая федерация и служебное собаководство</t>
  </si>
  <si>
    <t>Кинолог.Первенство РФ многоборье</t>
  </si>
  <si>
    <t>Т/а.Всероссийский турнир.Сургут</t>
  </si>
  <si>
    <t>Спортивный праздник среди детей Центра Детской Реабилитации</t>
  </si>
  <si>
    <t>V.КОММУНАЛЬНОЕ СОДЕРЖАНИЕ ФИЗКУЛЬТУРНО-СПОРТИВНЫХ, СПОРТИВНО-ТЕХНИЧЕСКИХ КЛУБОВ</t>
  </si>
  <si>
    <t>V. КОММУНАЛЬНОЕ СОДЕРЖАНИЕ ФИЗКУЛЬТУРНО-СПОРТИВНЫХ, СПОРТИВНО-ТЕХНИЧЕСКИХ КЛУБОВ</t>
  </si>
  <si>
    <t xml:space="preserve"> Коммунальное содержание физкультурно- спортивных, спортивно техкических клубов</t>
  </si>
  <si>
    <t>I. ФИЗКУЛЬТУРНО-ОЗДОРОВИТЕЛЬНАЯ И СПОРТИВНАЯ РАБОТА СРЕДИ ДЕТЕЙ .ПОДРОСТКОВ И МОЛОДЕЖИ</t>
  </si>
  <si>
    <t>Физкультурно-оздоровительная и спортивная работа среди детей, подростков и молодежи</t>
  </si>
  <si>
    <t>Исполн. Гайдаенко Н.В..  т.54-11-04</t>
  </si>
  <si>
    <t>Исполнители</t>
  </si>
  <si>
    <t>Сроки исполнения</t>
  </si>
  <si>
    <t>Ожидаемые результаты</t>
  </si>
  <si>
    <t>ВСЕГО (руб.)</t>
  </si>
  <si>
    <t>Матчевая встреча по парусному спорту Северск-Железногорск</t>
  </si>
  <si>
    <t>Б/гр.римск.Вс/турнир</t>
  </si>
  <si>
    <t>Пауэрлифтинг.Кубок Томск, обл.</t>
  </si>
  <si>
    <t>Коньки.Кубок РФ</t>
  </si>
  <si>
    <t>Л/а.Кубок и первенство РФ</t>
  </si>
  <si>
    <t xml:space="preserve">Пулев.стрельба.Всерос.турн. </t>
  </si>
  <si>
    <t xml:space="preserve"> среди подростков и молодежи.</t>
  </si>
  <si>
    <t>ЖЭУ. Стрельба из пневм.винтовки</t>
  </si>
  <si>
    <t>Ф/б, армреслинг, дартс,лыжи посвящ. Дню защ.отечества. Матчевая встреча Томск-Северск</t>
  </si>
  <si>
    <t>Инвалиды.  Мини футбол</t>
  </si>
  <si>
    <t>Инвалиды Плавание</t>
  </si>
  <si>
    <t>Итого 2,1</t>
  </si>
  <si>
    <t>2,1</t>
  </si>
  <si>
    <t>Исполн. Гайдаенко Н.В .  т. 54-11-04</t>
  </si>
  <si>
    <t>уголки пл.15х10р</t>
  </si>
  <si>
    <t>15,7 мин.</t>
  </si>
  <si>
    <t>Волейбол. Товарищеские встречи среди инвалидов</t>
  </si>
  <si>
    <t>Товарищеская встреча по волейболу среди инвалидов Северск-Томск</t>
  </si>
  <si>
    <t>Открытое первенство по дельтапланерному спорту</t>
  </si>
  <si>
    <t>Кол.приз.</t>
  </si>
  <si>
    <t>Финальные сор.школ.Томск лыжи</t>
  </si>
  <si>
    <t xml:space="preserve">Инвалиды. Н/т  </t>
  </si>
  <si>
    <t>груп.</t>
  </si>
  <si>
    <t>кол.чел.</t>
  </si>
  <si>
    <t>Соревнования по ОКД и ЗКС. Чемпионат ЗАТО и Кубок России</t>
  </si>
  <si>
    <t>Пул.стрельба. Откр.первенство</t>
  </si>
  <si>
    <t>Чемпионат по лыжам</t>
  </si>
  <si>
    <t>Кубок РФ двоеборье по гиревому спорту г.Оренбург</t>
  </si>
  <si>
    <t>Дельтапланерный спорт п.Учум</t>
  </si>
  <si>
    <t>Спортивный праздник "День автомобилиста"</t>
  </si>
  <si>
    <t>п.Самусь турнир по шахматам</t>
  </si>
  <si>
    <t>Кубок и первенство РФ по многоборью по легкой атлетике г.Кемерово</t>
  </si>
  <si>
    <t>Пул.стрельба.УТС к перв.РФ</t>
  </si>
  <si>
    <t>Кол.мер</t>
  </si>
  <si>
    <t>Коммунал.расх.  Кинологического клуба</t>
  </si>
  <si>
    <t>Коммунал.расх.по клубам техн.и воено-прикл.в/спорта "Акванавт" Комм.пр.40</t>
  </si>
  <si>
    <t>Коммунал.расх.по клубу туристов  Комм.пр.34</t>
  </si>
  <si>
    <t>Коммунал.расх.по клубам техн.и воено-прикл.в/спорт. "Ариэль" Курчатова 9</t>
  </si>
  <si>
    <t>Объем год.</t>
  </si>
  <si>
    <t>кв\кас</t>
  </si>
  <si>
    <t>Худ.гимн.Кубок ВСРФ.Москва</t>
  </si>
  <si>
    <t>Дельтапланерный г.Учум</t>
  </si>
  <si>
    <t>Международный турнир по волейболу среди ветеранов</t>
  </si>
  <si>
    <t xml:space="preserve">Первенство п.Орловка по настольному теннису </t>
  </si>
  <si>
    <t>19,5 мин.</t>
  </si>
  <si>
    <t>Доп.молодеж.Отрасл.Лесной</t>
  </si>
  <si>
    <t>Межд.шахматный турнир г.Дивногорск</t>
  </si>
  <si>
    <t>Допр.молодежная Зимняя спартакиада</t>
  </si>
  <si>
    <t>Доприз.молодежная Летняя Спартакиада</t>
  </si>
  <si>
    <t>мини-футбол</t>
  </si>
  <si>
    <t>Коньки.УТС.г.Алма-Ата</t>
  </si>
  <si>
    <t>Коньки.УТС скоростной сбор г.Нижний-Новгород</t>
  </si>
  <si>
    <t>КФКиС, с/к "Молодость"</t>
  </si>
  <si>
    <t>Рег. т-р Л.Егоровой</t>
  </si>
  <si>
    <t>Сп./гим. Турнир "В краю кедровом"</t>
  </si>
  <si>
    <t xml:space="preserve">3.5 комплексные мероприятия </t>
  </si>
  <si>
    <t>аудио касеты,фонограммы</t>
  </si>
  <si>
    <t>чел.</t>
  </si>
  <si>
    <t>дней</t>
  </si>
  <si>
    <t>проч</t>
  </si>
  <si>
    <t>врем, регистрация</t>
  </si>
  <si>
    <t>Проживание.спорт.соор\</t>
  </si>
  <si>
    <t>час</t>
  </si>
  <si>
    <t xml:space="preserve"> час</t>
  </si>
  <si>
    <t>Авиамод.спорт. День физкультурника</t>
  </si>
  <si>
    <t>УТС к соревнованиям зоны Сибири по борьбе дзюдо до 23 лет</t>
  </si>
  <si>
    <t>УТС к соревнованиям зоны Сибири по дзюдо</t>
  </si>
  <si>
    <t xml:space="preserve">УТС к чемпионату СФО по борьбе дзюдо </t>
  </si>
  <si>
    <t>УТС к турниру РФ по тяжелой атлетике</t>
  </si>
  <si>
    <t>Итого за месяц</t>
  </si>
  <si>
    <t>Февраль</t>
  </si>
  <si>
    <t>Март</t>
  </si>
  <si>
    <t>Апрель</t>
  </si>
  <si>
    <t>КФКиС, федер.в/б</t>
  </si>
  <si>
    <t>2.3</t>
  </si>
  <si>
    <t>3.1</t>
  </si>
  <si>
    <t>3.2</t>
  </si>
  <si>
    <t xml:space="preserve">КФКиС,ГОИ,  </t>
  </si>
  <si>
    <t>Полуфинал первенства по шахматам</t>
  </si>
  <si>
    <t>Год</t>
  </si>
  <si>
    <t>1кв</t>
  </si>
  <si>
    <t>2кв</t>
  </si>
  <si>
    <t>3кв</t>
  </si>
  <si>
    <t>4кв</t>
  </si>
  <si>
    <t xml:space="preserve">  Фестиваль "Северские зори"</t>
  </si>
  <si>
    <t xml:space="preserve">бланков грамот и дипломов </t>
  </si>
  <si>
    <t>Изготовление наглядного материала и метод.литературы</t>
  </si>
  <si>
    <t>Куртка стрелковая</t>
  </si>
  <si>
    <t>Ботинки сирелковые</t>
  </si>
  <si>
    <t>Брюки Стрелковые</t>
  </si>
  <si>
    <t>Мази,парафин лыжный</t>
  </si>
  <si>
    <t>Приобретение инвентаря для тенисного клуба "НАДЕЖДА"</t>
  </si>
  <si>
    <t xml:space="preserve">Настольные игры </t>
  </si>
  <si>
    <t>150км х 221день =33150 км х 20 л/100 = 6630л х 19руб</t>
  </si>
  <si>
    <t>100л х 12мес х 19руб</t>
  </si>
  <si>
    <t>20пар х 1200р.</t>
  </si>
  <si>
    <t>Парафины лыжные</t>
  </si>
  <si>
    <t>".Операция Снайпер"</t>
  </si>
  <si>
    <t>Фестиваль  допризывной молодежи"Полигон-2006"</t>
  </si>
  <si>
    <t>аренда л/б-4720р,</t>
  </si>
  <si>
    <t>авт.4час х 350р=1400</t>
  </si>
  <si>
    <t>Таблица3</t>
  </si>
  <si>
    <t>Лыжи.УТС Первенство РФ</t>
  </si>
  <si>
    <t>Б/гр-римск. Всерос.турн.Шумакова</t>
  </si>
  <si>
    <t>ВСК"Долг" Военноспор.многоб. Асино</t>
  </si>
  <si>
    <t>Л/а пробег. День физкультурника</t>
  </si>
  <si>
    <t>Стритбол. День физкультурника</t>
  </si>
  <si>
    <t>2,2</t>
  </si>
  <si>
    <t>3,4</t>
  </si>
  <si>
    <t>Итого 2.2</t>
  </si>
  <si>
    <t xml:space="preserve">Закрытие хоккейного сезона </t>
  </si>
  <si>
    <t>фнварь</t>
  </si>
  <si>
    <t>Хоккей .Первенство города</t>
  </si>
  <si>
    <t>аренда 6 ирг х 1,5 часа х2000р</t>
  </si>
  <si>
    <t>Формирование здорового образа жизни у жителей п.Самусь, П.Орловка привлечение к систематическим занятиям физической культурой и спортом, улучшения физкультурно-массовой и спортивной работы по месту жительства</t>
  </si>
  <si>
    <t>Спортивный праздник, посвященный Дню физкультурника</t>
  </si>
  <si>
    <t xml:space="preserve">Соревнования по лыжным гонкам "Лыжня здоровья" </t>
  </si>
  <si>
    <t xml:space="preserve">Первенство п.Орловка по футболу </t>
  </si>
  <si>
    <t xml:space="preserve">Первенство п.Орловка по шахматам </t>
  </si>
  <si>
    <t>Сп.бал.танец.Турн.Осен.фантазия</t>
  </si>
  <si>
    <t>М-футбол. Пер-во города 2гр.</t>
  </si>
  <si>
    <t>Бокс.УТС к турниру пам.Путина</t>
  </si>
  <si>
    <t>КФКиС, ГОИ</t>
  </si>
  <si>
    <t>Баскетбол-шоу.Спорт против наркотиков</t>
  </si>
  <si>
    <t>Физкультурно-оздоровительная и профилактическая работа с населением</t>
  </si>
  <si>
    <t>КФКиС, ПАТП</t>
  </si>
  <si>
    <t>Всероссийский турнир Шумакова по греко-римской борьбе г. Красноярск</t>
  </si>
  <si>
    <t xml:space="preserve">Обеспечения соревновательного процесса, проведения спортивно-массовых мероприятий </t>
  </si>
  <si>
    <t>Оплата за окно "Комсомольского прожектора"</t>
  </si>
  <si>
    <t xml:space="preserve">Коммунальное содержание клубов, в которых тренируются спортсмены </t>
  </si>
  <si>
    <t xml:space="preserve">Лыжи чемпионат города </t>
  </si>
  <si>
    <t>Кубок гл. администрации</t>
  </si>
  <si>
    <t>Мини футбол Т-Р Трофимчука</t>
  </si>
  <si>
    <t>Худ.гимн. Чемп. И Перв.</t>
  </si>
  <si>
    <t>Медицинское обеспечение и врачебный контроль</t>
  </si>
  <si>
    <t>Кубок Мэра по плаванию</t>
  </si>
  <si>
    <t>Коньки.УТС Чемпионат России. г.Алма-ата</t>
  </si>
  <si>
    <t>Турнир "Осенняя фантазия" по спортивным бальным танцам</t>
  </si>
  <si>
    <t>Осенний легкоатлетический кросс</t>
  </si>
  <si>
    <t>Первенство п.Самусь по шахматам</t>
  </si>
  <si>
    <t>Награждение по итогам года</t>
  </si>
  <si>
    <t>Дельтапл.Откр.перв-во</t>
  </si>
  <si>
    <t>М-футбол.Пер-во 1гр.</t>
  </si>
  <si>
    <t>В/б.Пер-во Муж 1 гр.</t>
  </si>
  <si>
    <t xml:space="preserve">Водные лыжи.Пер-во </t>
  </si>
  <si>
    <t xml:space="preserve">Б/б.Кубок </t>
  </si>
  <si>
    <t xml:space="preserve">Б/б.Пер-во </t>
  </si>
  <si>
    <t>Соревнования по настольному теннису, дартсу, шахматам, мини-футболу, волейболу (жен.), посвященные декаде инвалидов</t>
  </si>
  <si>
    <t>Открытие хоккейного сезона</t>
  </si>
  <si>
    <t>Открытие хоккейного сезона п.Самусь</t>
  </si>
  <si>
    <t>Легкоатлетический кросс п.Самусь</t>
  </si>
  <si>
    <t>Спортивный праздник "День учителя" среди работников организаций УО</t>
  </si>
  <si>
    <t>КФКиС, УО, шк.83</t>
  </si>
  <si>
    <t>"Папа,мама, я - спортивная семья"</t>
  </si>
  <si>
    <t>КФКиС, ВСК"Долг"</t>
  </si>
  <si>
    <t>ВСК"Долг"</t>
  </si>
  <si>
    <t>Управление.образов.</t>
  </si>
  <si>
    <t>кол-вы УО</t>
  </si>
  <si>
    <t>Коньки. Перв-во по многоборью</t>
  </si>
  <si>
    <t xml:space="preserve">Сп/гимн.Первенство </t>
  </si>
  <si>
    <t>Б/дзюдо.Откр.перв-во и чемп.</t>
  </si>
  <si>
    <t>Спорт.празд.ЦДР, посв. Дню защ.детей</t>
  </si>
  <si>
    <t>Настольный теннис</t>
  </si>
  <si>
    <t>Картинг</t>
  </si>
  <si>
    <t>Авиамодельный спорт</t>
  </si>
  <si>
    <t>Спортивный праздник, посвященный Дню 8 марта</t>
  </si>
  <si>
    <t>Итого по 3.1</t>
  </si>
  <si>
    <t>Региональный турнир по лыжным на приз Л.Егоровой</t>
  </si>
  <si>
    <t>Асино</t>
  </si>
  <si>
    <t>Итого по 1.4</t>
  </si>
  <si>
    <t>Пулевая стрельба</t>
  </si>
  <si>
    <t>Хоккей</t>
  </si>
  <si>
    <t>Турнир по шашкам за звание чемпиона</t>
  </si>
  <si>
    <t>Легкоатлетический пробег "Молодежь против наркотиков"</t>
  </si>
  <si>
    <t>Новогодний турнир по настольному теннису</t>
  </si>
  <si>
    <t>I кв.</t>
  </si>
  <si>
    <t>3.4 гор.сор-я по видам спорта</t>
  </si>
  <si>
    <t>8 информац.реклам. деятельность</t>
  </si>
  <si>
    <t>ватман 120лист х 12р</t>
  </si>
  <si>
    <t>Пояс пожарный</t>
  </si>
  <si>
    <t>Шиповки легкоатлетические</t>
  </si>
  <si>
    <t>Футболки</t>
  </si>
  <si>
    <t>Открытое личное первенство Первомайского района по гиревому спорту</t>
  </si>
  <si>
    <t>Л/а.УТС Кисловодск</t>
  </si>
  <si>
    <t>III. ФИЗИЧЕСКАЯ КУЛЬТУРА И СПОРТ СРЕДИ МОЛОДЕЖИ, ЛИЦ СРЕДНЕГО И СТАРШЕГО ВОЗРАСТА</t>
  </si>
  <si>
    <t>Первенство п.Самусь по футболу</t>
  </si>
  <si>
    <t>Первенство п.Самусь по шашкам</t>
  </si>
  <si>
    <t>Кубок России по конькобежному спорту г.Иркутск</t>
  </si>
  <si>
    <t>КФКиС,ЦДР</t>
  </si>
  <si>
    <t>Зональные соревнования школьников по баскетболу, проводимые в г.Томске</t>
  </si>
  <si>
    <t>Физическая культура и спорт среди молодежи, лиц среднего и старшего возраста</t>
  </si>
  <si>
    <t>Турнир по шашкам при ЖЭУ</t>
  </si>
  <si>
    <t>Спартакиада оздоровительных лагерей при общеобразовательных школах, детско-юношеских спортивных школах, ЖЭУ (2 сезон)</t>
  </si>
  <si>
    <t>Первенство по волейболу среди мужчин 2 группа</t>
  </si>
  <si>
    <t>уголки 20шт. х 6р</t>
  </si>
  <si>
    <t>бумага 1пач х 115р</t>
  </si>
  <si>
    <t>Кол.клуб.</t>
  </si>
  <si>
    <t>Баскетбол-шоу "Спорт против наркотиков"</t>
  </si>
  <si>
    <t>Лесной</t>
  </si>
  <si>
    <t>Дельтапл.Соревнования к Дню авиации</t>
  </si>
  <si>
    <t xml:space="preserve">Л/а. Чемпионат </t>
  </si>
  <si>
    <t>Спорт.бальн.танцы. Откр.перв-во</t>
  </si>
  <si>
    <t xml:space="preserve">Бокс.Первенство </t>
  </si>
  <si>
    <t>Каратэ. Откр.первенство</t>
  </si>
  <si>
    <t>Т/а.Откр.личн.перв-во</t>
  </si>
  <si>
    <t xml:space="preserve">Каратэ. Первенство </t>
  </si>
  <si>
    <t xml:space="preserve">Городки.Первенство </t>
  </si>
  <si>
    <t xml:space="preserve">Чемпионат ЗАТО Северск и Кубок России </t>
  </si>
  <si>
    <t>Футбол.Перв-во по зимн.футболу</t>
  </si>
  <si>
    <t>Спортивный праздник, посвященный Дню знаний, Дню согласия и примирения - СГТА, СПК, в/ч, ПУ-10, ПУ-32</t>
  </si>
  <si>
    <t>Спортивный праздник, посвященный Дню борьбы с наркотиками - СГТА, СПК, в/ч, ПУ-10, ПУ-32</t>
  </si>
  <si>
    <t>Шашки. Классификационный турнир</t>
  </si>
  <si>
    <t>Шашки.Т Первенство города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</si>
</sst>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_р_._-;\-* #,##0.0_р_._-;_-* &quot;-&quot;_р_._-;_-@_-"/>
    <numFmt numFmtId="167" formatCode="_-* #,##0.0\ _р_._-;\-* #,##0.0\ _р_._-;_-* &quot;-&quot;\ _р_._-;_-@_-"/>
    <numFmt numFmtId="168" formatCode="_-* #,##0.00\ _р_._-;\-* #,##0.00\ _р_._-;_-* &quot;-&quot;\ _р_._-;_-@_-"/>
    <numFmt numFmtId="169" formatCode="0.000"/>
    <numFmt numFmtId="170" formatCode="_-* #,##0.0_р_._-;\-* #,##0.0_р_._-;_-* &quot;-&quot;??_р_._-;_-@_-"/>
    <numFmt numFmtId="171" formatCode="_-* #,##0_р_._-;\-* #,##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"/>
    <numFmt numFmtId="179" formatCode="0.00000"/>
    <numFmt numFmtId="180" formatCode="#,##0.0"/>
    <numFmt numFmtId="181" formatCode="#,##0_ ;\-#,##0\ "/>
    <numFmt numFmtId="182" formatCode="#,##0.00&quot;р.&quot;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16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2"/>
    </font>
    <font>
      <sz val="10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12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9"/>
      <color indexed="12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9"/>
      <color indexed="10"/>
      <name val="Arial Cyr"/>
      <family val="2"/>
    </font>
    <font>
      <b/>
      <sz val="10"/>
      <color indexed="16"/>
      <name val="Arial Cyr"/>
      <family val="0"/>
    </font>
    <font>
      <b/>
      <sz val="8"/>
      <color indexed="10"/>
      <name val="Arial Cyr"/>
      <family val="2"/>
    </font>
    <font>
      <sz val="9"/>
      <color indexed="10"/>
      <name val="Arial Cyr"/>
      <family val="2"/>
    </font>
    <font>
      <sz val="6"/>
      <name val="Arial Cyr"/>
      <family val="2"/>
    </font>
    <font>
      <b/>
      <sz val="6"/>
      <color indexed="10"/>
      <name val="Arial Cyr"/>
      <family val="2"/>
    </font>
    <font>
      <sz val="7"/>
      <name val="Arial Cyr"/>
      <family val="2"/>
    </font>
    <font>
      <b/>
      <sz val="10"/>
      <color indexed="18"/>
      <name val="Arial Cyr"/>
      <family val="2"/>
    </font>
    <font>
      <b/>
      <sz val="9"/>
      <color indexed="20"/>
      <name val="Arial Cyr"/>
      <family val="0"/>
    </font>
    <font>
      <b/>
      <sz val="9"/>
      <color indexed="12"/>
      <name val="Arial Cyr"/>
      <family val="0"/>
    </font>
    <font>
      <b/>
      <sz val="11"/>
      <color indexed="10"/>
      <name val="Arial Cyr"/>
      <family val="2"/>
    </font>
    <font>
      <b/>
      <sz val="9"/>
      <color indexed="17"/>
      <name val="Arial Cyr"/>
      <family val="0"/>
    </font>
    <font>
      <sz val="9"/>
      <color indexed="48"/>
      <name val="Arial Cyr"/>
      <family val="2"/>
    </font>
    <font>
      <sz val="8"/>
      <color indexed="48"/>
      <name val="Arial Cyr"/>
      <family val="2"/>
    </font>
    <font>
      <sz val="10"/>
      <color indexed="48"/>
      <name val="Arial Cyr"/>
      <family val="2"/>
    </font>
    <font>
      <sz val="8"/>
      <color indexed="10"/>
      <name val="Arial Cyr"/>
      <family val="2"/>
    </font>
    <font>
      <b/>
      <sz val="9"/>
      <color indexed="57"/>
      <name val="Arial Cyr"/>
      <family val="0"/>
    </font>
    <font>
      <sz val="7"/>
      <color indexed="48"/>
      <name val="Arial Cyr"/>
      <family val="2"/>
    </font>
    <font>
      <b/>
      <sz val="7"/>
      <color indexed="10"/>
      <name val="Arial Cyr"/>
      <family val="2"/>
    </font>
    <font>
      <sz val="6"/>
      <color indexed="48"/>
      <name val="Arial Cyr"/>
      <family val="2"/>
    </font>
    <font>
      <b/>
      <sz val="12"/>
      <color indexed="10"/>
      <name val="Arial Cyr"/>
      <family val="0"/>
    </font>
    <font>
      <sz val="7"/>
      <color indexed="12"/>
      <name val="Arial Cyr"/>
      <family val="2"/>
    </font>
    <font>
      <sz val="7"/>
      <color indexed="8"/>
      <name val="Arial Cyr"/>
      <family val="2"/>
    </font>
    <font>
      <sz val="10"/>
      <name val="Times New Roman"/>
      <family val="1"/>
    </font>
    <font>
      <sz val="10"/>
      <name val="Arial CE"/>
      <family val="2"/>
    </font>
    <font>
      <sz val="11"/>
      <color indexed="10"/>
      <name val="Arial Cyr"/>
      <family val="2"/>
    </font>
    <font>
      <b/>
      <sz val="10"/>
      <name val="Times New Roman"/>
      <family val="1"/>
    </font>
    <font>
      <b/>
      <sz val="9"/>
      <color indexed="16"/>
      <name val="Arial Cyr"/>
      <family val="0"/>
    </font>
    <font>
      <b/>
      <sz val="8"/>
      <color indexed="16"/>
      <name val="Arial Cyr"/>
      <family val="0"/>
    </font>
    <font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Fill="1" applyBorder="1" applyAlignment="1">
      <alignment/>
    </xf>
    <xf numFmtId="43" fontId="0" fillId="0" borderId="0" xfId="2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1" fontId="18" fillId="0" borderId="6" xfId="0" applyNumberFormat="1" applyFont="1" applyBorder="1" applyAlignment="1">
      <alignment/>
    </xf>
    <xf numFmtId="1" fontId="18" fillId="0" borderId="7" xfId="0" applyNumberFormat="1" applyFont="1" applyBorder="1" applyAlignment="1">
      <alignment/>
    </xf>
    <xf numFmtId="1" fontId="18" fillId="0" borderId="8" xfId="0" applyNumberFormat="1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5" fillId="0" borderId="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1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19" xfId="0" applyFont="1" applyBorder="1" applyAlignment="1">
      <alignment/>
    </xf>
    <xf numFmtId="1" fontId="15" fillId="0" borderId="4" xfId="0" applyNumberFormat="1" applyFont="1" applyBorder="1" applyAlignment="1">
      <alignment/>
    </xf>
    <xf numFmtId="0" fontId="15" fillId="0" borderId="12" xfId="0" applyFont="1" applyBorder="1" applyAlignment="1">
      <alignment horizontal="right"/>
    </xf>
    <xf numFmtId="0" fontId="15" fillId="0" borderId="20" xfId="0" applyFont="1" applyBorder="1" applyAlignment="1">
      <alignment/>
    </xf>
    <xf numFmtId="1" fontId="15" fillId="0" borderId="14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1" fontId="15" fillId="0" borderId="3" xfId="0" applyNumberFormat="1" applyFont="1" applyBorder="1" applyAlignment="1">
      <alignment/>
    </xf>
    <xf numFmtId="0" fontId="15" fillId="0" borderId="2" xfId="0" applyFont="1" applyBorder="1" applyAlignment="1">
      <alignment horizontal="right"/>
    </xf>
    <xf numFmtId="1" fontId="15" fillId="0" borderId="2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1" fontId="15" fillId="0" borderId="11" xfId="0" applyNumberFormat="1" applyFont="1" applyBorder="1" applyAlignment="1">
      <alignment/>
    </xf>
    <xf numFmtId="1" fontId="15" fillId="0" borderId="12" xfId="0" applyNumberFormat="1" applyFont="1" applyBorder="1" applyAlignment="1">
      <alignment/>
    </xf>
    <xf numFmtId="0" fontId="15" fillId="0" borderId="20" xfId="0" applyFont="1" applyFill="1" applyBorder="1" applyAlignment="1">
      <alignment/>
    </xf>
    <xf numFmtId="1" fontId="15" fillId="0" borderId="10" xfId="0" applyNumberFormat="1" applyFont="1" applyBorder="1" applyAlignment="1">
      <alignment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1" fontId="18" fillId="0" borderId="21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0" fontId="15" fillId="0" borderId="14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1" fontId="18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23" xfId="0" applyFont="1" applyBorder="1" applyAlignment="1">
      <alignment/>
    </xf>
    <xf numFmtId="0" fontId="18" fillId="0" borderId="21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24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21" fillId="0" borderId="6" xfId="0" applyFont="1" applyBorder="1" applyAlignment="1">
      <alignment/>
    </xf>
    <xf numFmtId="0" fontId="21" fillId="0" borderId="8" xfId="0" applyFont="1" applyBorder="1" applyAlignment="1">
      <alignment/>
    </xf>
    <xf numFmtId="1" fontId="21" fillId="0" borderId="26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2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9" fillId="0" borderId="2" xfId="0" applyFont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1" fontId="15" fillId="0" borderId="2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3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18" fillId="0" borderId="7" xfId="0" applyNumberFormat="1" applyFont="1" applyFill="1" applyBorder="1" applyAlignment="1">
      <alignment/>
    </xf>
    <xf numFmtId="1" fontId="18" fillId="0" borderId="27" xfId="0" applyNumberFormat="1" applyFont="1" applyFill="1" applyBorder="1" applyAlignment="1">
      <alignment/>
    </xf>
    <xf numFmtId="1" fontId="18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31" xfId="0" applyFont="1" applyFill="1" applyBorder="1" applyAlignment="1">
      <alignment/>
    </xf>
    <xf numFmtId="1" fontId="15" fillId="0" borderId="12" xfId="0" applyNumberFormat="1" applyFont="1" applyFill="1" applyBorder="1" applyAlignment="1">
      <alignment/>
    </xf>
    <xf numFmtId="1" fontId="15" fillId="0" borderId="17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1" fontId="15" fillId="0" borderId="3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8" fillId="0" borderId="30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21" fillId="0" borderId="27" xfId="0" applyFont="1" applyBorder="1" applyAlignment="1">
      <alignment/>
    </xf>
    <xf numFmtId="1" fontId="21" fillId="0" borderId="8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1" fontId="21" fillId="0" borderId="7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29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1" fontId="21" fillId="0" borderId="35" xfId="0" applyNumberFormat="1" applyFont="1" applyBorder="1" applyAlignment="1">
      <alignment/>
    </xf>
    <xf numFmtId="0" fontId="15" fillId="0" borderId="8" xfId="0" applyFont="1" applyFill="1" applyBorder="1" applyAlignment="1">
      <alignment horizontal="center"/>
    </xf>
    <xf numFmtId="0" fontId="15" fillId="0" borderId="37" xfId="0" applyFont="1" applyFill="1" applyBorder="1" applyAlignment="1">
      <alignment/>
    </xf>
    <xf numFmtId="0" fontId="15" fillId="0" borderId="3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5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1" fontId="15" fillId="0" borderId="29" xfId="0" applyNumberFormat="1" applyFont="1" applyFill="1" applyBorder="1" applyAlignment="1">
      <alignment vertical="center" wrapText="1"/>
    </xf>
    <xf numFmtId="1" fontId="18" fillId="0" borderId="6" xfId="0" applyNumberFormat="1" applyFont="1" applyFill="1" applyBorder="1" applyAlignment="1">
      <alignment/>
    </xf>
    <xf numFmtId="0" fontId="15" fillId="0" borderId="28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" fontId="15" fillId="0" borderId="3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/>
    </xf>
    <xf numFmtId="1" fontId="15" fillId="0" borderId="32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4" xfId="0" applyNumberFormat="1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1" fontId="15" fillId="0" borderId="10" xfId="0" applyNumberFormat="1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1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15" fillId="0" borderId="29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0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9" fillId="0" borderId="3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" fontId="15" fillId="0" borderId="13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1" fontId="15" fillId="0" borderId="32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1" fontId="15" fillId="0" borderId="11" xfId="0" applyNumberFormat="1" applyFont="1" applyFill="1" applyBorder="1" applyAlignment="1">
      <alignment vertical="center" wrapText="1"/>
    </xf>
    <xf numFmtId="1" fontId="15" fillId="0" borderId="25" xfId="0" applyNumberFormat="1" applyFont="1" applyFill="1" applyBorder="1" applyAlignment="1">
      <alignment/>
    </xf>
    <xf numFmtId="1" fontId="21" fillId="0" borderId="35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" fontId="15" fillId="0" borderId="4" xfId="0" applyNumberFormat="1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vertical="center" wrapText="1"/>
    </xf>
    <xf numFmtId="1" fontId="15" fillId="0" borderId="19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3" fontId="0" fillId="2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12" fillId="2" borderId="14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2" xfId="0" applyFont="1" applyFill="1" applyBorder="1" applyAlignment="1">
      <alignment horizontal="left"/>
    </xf>
    <xf numFmtId="0" fontId="15" fillId="0" borderId="42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4" fillId="0" borderId="0" xfId="0" applyFont="1" applyAlignment="1">
      <alignment horizontal="left"/>
    </xf>
    <xf numFmtId="6" fontId="15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5" fillId="0" borderId="6" xfId="0" applyFont="1" applyBorder="1" applyAlignment="1">
      <alignment horizontal="center"/>
    </xf>
    <xf numFmtId="0" fontId="0" fillId="0" borderId="0" xfId="0" applyAlignment="1">
      <alignment vertical="center"/>
    </xf>
    <xf numFmtId="0" fontId="15" fillId="0" borderId="33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wrapText="1"/>
    </xf>
    <xf numFmtId="0" fontId="19" fillId="3" borderId="13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15" fillId="0" borderId="14" xfId="0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horizontal="center"/>
    </xf>
    <xf numFmtId="0" fontId="15" fillId="0" borderId="3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5" fillId="0" borderId="47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15" fillId="0" borderId="29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0" fontId="19" fillId="0" borderId="3" xfId="0" applyFont="1" applyBorder="1" applyAlignment="1">
      <alignment horizontal="left"/>
    </xf>
    <xf numFmtId="0" fontId="15" fillId="0" borderId="6" xfId="0" applyFont="1" applyFill="1" applyBorder="1" applyAlignment="1">
      <alignment/>
    </xf>
    <xf numFmtId="1" fontId="15" fillId="0" borderId="21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1" fillId="0" borderId="30" xfId="0" applyFont="1" applyBorder="1" applyAlignment="1">
      <alignment/>
    </xf>
    <xf numFmtId="0" fontId="19" fillId="0" borderId="22" xfId="0" applyFont="1" applyFill="1" applyBorder="1" applyAlignment="1">
      <alignment/>
    </xf>
    <xf numFmtId="0" fontId="15" fillId="0" borderId="31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vertical="center" wrapText="1"/>
    </xf>
    <xf numFmtId="1" fontId="15" fillId="0" borderId="44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42" xfId="0" applyFont="1" applyFill="1" applyBorder="1" applyAlignment="1">
      <alignment vertical="center" wrapText="1"/>
    </xf>
    <xf numFmtId="0" fontId="15" fillId="0" borderId="48" xfId="0" applyFont="1" applyBorder="1" applyAlignment="1">
      <alignment horizontal="center"/>
    </xf>
    <xf numFmtId="164" fontId="15" fillId="0" borderId="2" xfId="0" applyNumberFormat="1" applyFont="1" applyBorder="1" applyAlignment="1">
      <alignment/>
    </xf>
    <xf numFmtId="1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" fontId="15" fillId="0" borderId="22" xfId="0" applyNumberFormat="1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49" xfId="0" applyFont="1" applyBorder="1" applyAlignment="1">
      <alignment/>
    </xf>
    <xf numFmtId="0" fontId="15" fillId="0" borderId="26" xfId="0" applyFont="1" applyBorder="1" applyAlignment="1">
      <alignment/>
    </xf>
    <xf numFmtId="0" fontId="18" fillId="0" borderId="35" xfId="0" applyFont="1" applyBorder="1" applyAlignment="1">
      <alignment/>
    </xf>
    <xf numFmtId="1" fontId="18" fillId="0" borderId="0" xfId="0" applyNumberFormat="1" applyFont="1" applyAlignment="1">
      <alignment/>
    </xf>
    <xf numFmtId="0" fontId="18" fillId="4" borderId="8" xfId="0" applyFont="1" applyFill="1" applyBorder="1" applyAlignment="1">
      <alignment/>
    </xf>
    <xf numFmtId="0" fontId="18" fillId="4" borderId="0" xfId="0" applyFont="1" applyFill="1" applyAlignment="1">
      <alignment/>
    </xf>
    <xf numFmtId="1" fontId="15" fillId="0" borderId="16" xfId="0" applyNumberFormat="1" applyFont="1" applyFill="1" applyBorder="1" applyAlignment="1">
      <alignment/>
    </xf>
    <xf numFmtId="0" fontId="17" fillId="0" borderId="29" xfId="0" applyFont="1" applyBorder="1" applyAlignment="1">
      <alignment/>
    </xf>
    <xf numFmtId="49" fontId="15" fillId="0" borderId="28" xfId="0" applyNumberFormat="1" applyFont="1" applyBorder="1" applyAlignment="1">
      <alignment horizontal="right"/>
    </xf>
    <xf numFmtId="49" fontId="15" fillId="0" borderId="31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5" fillId="0" borderId="1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" fontId="15" fillId="0" borderId="13" xfId="0" applyNumberFormat="1" applyFont="1" applyBorder="1" applyAlignment="1">
      <alignment vertical="center"/>
    </xf>
    <xf numFmtId="1" fontId="15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5" fillId="0" borderId="22" xfId="0" applyFont="1" applyBorder="1" applyAlignment="1">
      <alignment horizontal="center"/>
    </xf>
    <xf numFmtId="1" fontId="15" fillId="0" borderId="25" xfId="19" applyNumberFormat="1" applyFont="1" applyBorder="1" applyAlignment="1">
      <alignment/>
    </xf>
    <xf numFmtId="9" fontId="18" fillId="0" borderId="7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14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vertical="center"/>
    </xf>
    <xf numFmtId="0" fontId="19" fillId="0" borderId="25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1" xfId="0" applyFont="1" applyBorder="1" applyAlignment="1">
      <alignment/>
    </xf>
    <xf numFmtId="1" fontId="21" fillId="0" borderId="9" xfId="0" applyNumberFormat="1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5" fillId="0" borderId="50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45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49" xfId="0" applyFont="1" applyBorder="1" applyAlignment="1">
      <alignment horizontal="right"/>
    </xf>
    <xf numFmtId="0" fontId="18" fillId="0" borderId="35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horizontal="right"/>
    </xf>
    <xf numFmtId="0" fontId="18" fillId="0" borderId="22" xfId="0" applyFont="1" applyBorder="1" applyAlignment="1">
      <alignment/>
    </xf>
    <xf numFmtId="1" fontId="18" fillId="0" borderId="22" xfId="0" applyNumberFormat="1" applyFont="1" applyBorder="1" applyAlignment="1">
      <alignment/>
    </xf>
    <xf numFmtId="0" fontId="15" fillId="0" borderId="26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6" xfId="0" applyFont="1" applyBorder="1" applyAlignment="1">
      <alignment horizontal="right"/>
    </xf>
    <xf numFmtId="0" fontId="15" fillId="0" borderId="4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/>
    </xf>
    <xf numFmtId="0" fontId="21" fillId="0" borderId="2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15" fillId="0" borderId="25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1" fontId="2" fillId="0" borderId="29" xfId="0" applyNumberFormat="1" applyFont="1" applyFill="1" applyBorder="1" applyAlignment="1">
      <alignment/>
    </xf>
    <xf numFmtId="1" fontId="14" fillId="0" borderId="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" fontId="2" fillId="0" borderId="54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" fontId="2" fillId="0" borderId="29" xfId="0" applyNumberFormat="1" applyFont="1" applyBorder="1" applyAlignment="1">
      <alignment vertical="center" wrapText="1"/>
    </xf>
    <xf numFmtId="1" fontId="2" fillId="0" borderId="55" xfId="0" applyNumberFormat="1" applyFont="1" applyBorder="1" applyAlignment="1">
      <alignment vertical="center" wrapText="1"/>
    </xf>
    <xf numFmtId="1" fontId="2" fillId="0" borderId="32" xfId="0" applyNumberFormat="1" applyFont="1" applyBorder="1" applyAlignment="1">
      <alignment vertical="center" wrapText="1"/>
    </xf>
    <xf numFmtId="1" fontId="2" fillId="0" borderId="43" xfId="0" applyNumberFormat="1" applyFont="1" applyBorder="1" applyAlignment="1">
      <alignment vertical="center" wrapText="1"/>
    </xf>
    <xf numFmtId="1" fontId="2" fillId="0" borderId="44" xfId="0" applyNumberFormat="1" applyFont="1" applyBorder="1" applyAlignment="1">
      <alignment vertical="center" wrapText="1"/>
    </xf>
    <xf numFmtId="1" fontId="2" fillId="0" borderId="42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38" xfId="0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17" fillId="0" borderId="2" xfId="0" applyFont="1" applyBorder="1" applyAlignment="1">
      <alignment vertical="center" wrapText="1"/>
    </xf>
    <xf numFmtId="1" fontId="15" fillId="0" borderId="29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1" fontId="21" fillId="0" borderId="35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Font="1" applyBorder="1" applyAlignment="1">
      <alignment/>
    </xf>
    <xf numFmtId="3" fontId="19" fillId="3" borderId="13" xfId="0" applyNumberFormat="1" applyFont="1" applyFill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9" fillId="3" borderId="14" xfId="0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vertical="center" wrapText="1"/>
    </xf>
    <xf numFmtId="1" fontId="15" fillId="0" borderId="29" xfId="0" applyNumberFormat="1" applyFont="1" applyFill="1" applyBorder="1" applyAlignment="1">
      <alignment vertical="center"/>
    </xf>
    <xf numFmtId="0" fontId="15" fillId="0" borderId="46" xfId="0" applyFont="1" applyFill="1" applyBorder="1" applyAlignment="1">
      <alignment vertical="center" wrapText="1"/>
    </xf>
    <xf numFmtId="1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1" fontId="1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1" fontId="15" fillId="0" borderId="11" xfId="0" applyNumberFormat="1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28" xfId="0" applyFont="1" applyFill="1" applyBorder="1" applyAlignment="1">
      <alignment horizontal="center" vertical="center"/>
    </xf>
    <xf numFmtId="2" fontId="15" fillId="0" borderId="22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36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0" borderId="3" xfId="21" applyNumberFormat="1" applyFont="1" applyBorder="1" applyAlignment="1">
      <alignment horizontal="right"/>
    </xf>
    <xf numFmtId="164" fontId="15" fillId="0" borderId="0" xfId="0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164" fontId="15" fillId="0" borderId="2" xfId="21" applyNumberFormat="1" applyFont="1" applyBorder="1" applyAlignment="1">
      <alignment horizontal="right"/>
    </xf>
    <xf numFmtId="164" fontId="18" fillId="0" borderId="24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left"/>
    </xf>
    <xf numFmtId="0" fontId="15" fillId="0" borderId="25" xfId="0" applyFont="1" applyBorder="1" applyAlignment="1">
      <alignment horizontal="center"/>
    </xf>
    <xf numFmtId="9" fontId="15" fillId="0" borderId="25" xfId="0" applyNumberFormat="1" applyFont="1" applyBorder="1" applyAlignment="1">
      <alignment horizontal="center"/>
    </xf>
    <xf numFmtId="1" fontId="15" fillId="0" borderId="0" xfId="19" applyNumberFormat="1" applyFont="1" applyBorder="1" applyAlignment="1">
      <alignment/>
    </xf>
    <xf numFmtId="0" fontId="4" fillId="0" borderId="41" xfId="0" applyFont="1" applyBorder="1" applyAlignment="1">
      <alignment horizontal="left"/>
    </xf>
    <xf numFmtId="0" fontId="15" fillId="0" borderId="56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57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5" fillId="2" borderId="40" xfId="0" applyNumberFormat="1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9" fontId="5" fillId="0" borderId="40" xfId="0" applyNumberFormat="1" applyFont="1" applyFill="1" applyBorder="1" applyAlignment="1">
      <alignment horizontal="center"/>
    </xf>
    <xf numFmtId="164" fontId="21" fillId="0" borderId="35" xfId="0" applyNumberFormat="1" applyFont="1" applyBorder="1" applyAlignment="1">
      <alignment horizontal="right"/>
    </xf>
    <xf numFmtId="0" fontId="19" fillId="0" borderId="28" xfId="0" applyFont="1" applyBorder="1" applyAlignment="1">
      <alignment/>
    </xf>
    <xf numFmtId="0" fontId="19" fillId="0" borderId="4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9" fontId="15" fillId="0" borderId="49" xfId="0" applyNumberFormat="1" applyFont="1" applyBorder="1" applyAlignment="1">
      <alignment horizontal="center" vertical="center"/>
    </xf>
    <xf numFmtId="1" fontId="15" fillId="0" borderId="32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1" fontId="15" fillId="0" borderId="23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5" fillId="0" borderId="37" xfId="0" applyFont="1" applyBorder="1" applyAlignment="1">
      <alignment/>
    </xf>
    <xf numFmtId="0" fontId="22" fillId="2" borderId="59" xfId="0" applyFont="1" applyFill="1" applyBorder="1" applyAlignment="1">
      <alignment horizontal="center"/>
    </xf>
    <xf numFmtId="49" fontId="5" fillId="2" borderId="6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15" fillId="0" borderId="5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 shrinkToFit="1"/>
    </xf>
    <xf numFmtId="0" fontId="15" fillId="0" borderId="23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vertical="center"/>
    </xf>
    <xf numFmtId="9" fontId="15" fillId="0" borderId="14" xfId="19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 wrapText="1"/>
    </xf>
    <xf numFmtId="49" fontId="15" fillId="0" borderId="58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9" fillId="0" borderId="39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49" fontId="29" fillId="0" borderId="46" xfId="0" applyNumberFormat="1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horizontal="center" vertical="center" wrapText="1"/>
    </xf>
    <xf numFmtId="3" fontId="29" fillId="0" borderId="46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vertical="center"/>
    </xf>
    <xf numFmtId="49" fontId="29" fillId="0" borderId="4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center" vertical="center" wrapText="1"/>
    </xf>
    <xf numFmtId="3" fontId="30" fillId="0" borderId="6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49" fontId="29" fillId="0" borderId="49" xfId="0" applyNumberFormat="1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center" vertical="center" wrapText="1"/>
    </xf>
    <xf numFmtId="3" fontId="29" fillId="0" borderId="49" xfId="0" applyNumberFormat="1" applyFont="1" applyFill="1" applyBorder="1" applyAlignment="1">
      <alignment vertical="center" wrapText="1"/>
    </xf>
    <xf numFmtId="3" fontId="15" fillId="0" borderId="58" xfId="0" applyNumberFormat="1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 shrinkToFit="1"/>
    </xf>
    <xf numFmtId="3" fontId="15" fillId="0" borderId="10" xfId="0" applyNumberFormat="1" applyFont="1" applyFill="1" applyBorder="1" applyAlignment="1">
      <alignment vertical="center"/>
    </xf>
    <xf numFmtId="3" fontId="30" fillId="0" borderId="7" xfId="0" applyNumberFormat="1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27" xfId="0" applyNumberFormat="1" applyFont="1" applyFill="1" applyBorder="1" applyAlignment="1">
      <alignment vertical="center" wrapText="1"/>
    </xf>
    <xf numFmtId="3" fontId="30" fillId="0" borderId="9" xfId="0" applyNumberFormat="1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29" fillId="0" borderId="4" xfId="0" applyNumberFormat="1" applyFont="1" applyFill="1" applyBorder="1" applyAlignment="1">
      <alignment horizontal="right" vertical="center" wrapText="1"/>
    </xf>
    <xf numFmtId="0" fontId="19" fillId="0" borderId="5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52" xfId="0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2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" fontId="2" fillId="0" borderId="61" xfId="0" applyNumberFormat="1" applyFont="1" applyBorder="1" applyAlignment="1">
      <alignment vertical="center" wrapText="1"/>
    </xf>
    <xf numFmtId="0" fontId="0" fillId="0" borderId="22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5" fillId="0" borderId="33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15" fillId="0" borderId="33" xfId="0" applyFont="1" applyBorder="1" applyAlignment="1">
      <alignment horizontal="right"/>
    </xf>
    <xf numFmtId="0" fontId="33" fillId="0" borderId="30" xfId="0" applyFont="1" applyFill="1" applyBorder="1" applyAlignment="1">
      <alignment/>
    </xf>
    <xf numFmtId="0" fontId="33" fillId="0" borderId="7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3" fillId="0" borderId="6" xfId="0" applyFont="1" applyFill="1" applyBorder="1" applyAlignment="1">
      <alignment/>
    </xf>
    <xf numFmtId="0" fontId="33" fillId="0" borderId="5" xfId="0" applyFont="1" applyFill="1" applyBorder="1" applyAlignment="1">
      <alignment/>
    </xf>
    <xf numFmtId="1" fontId="33" fillId="0" borderId="5" xfId="0" applyNumberFormat="1" applyFont="1" applyFill="1" applyBorder="1" applyAlignment="1">
      <alignment/>
    </xf>
    <xf numFmtId="1" fontId="33" fillId="0" borderId="24" xfId="0" applyNumberFormat="1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33" fillId="0" borderId="7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7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6" xfId="0" applyFont="1" applyBorder="1" applyAlignment="1">
      <alignment/>
    </xf>
    <xf numFmtId="0" fontId="33" fillId="0" borderId="5" xfId="0" applyFont="1" applyBorder="1" applyAlignment="1">
      <alignment/>
    </xf>
    <xf numFmtId="1" fontId="33" fillId="0" borderId="5" xfId="0" applyNumberFormat="1" applyFont="1" applyBorder="1" applyAlignment="1">
      <alignment/>
    </xf>
    <xf numFmtId="1" fontId="33" fillId="0" borderId="24" xfId="0" applyNumberFormat="1" applyFont="1" applyBorder="1" applyAlignment="1">
      <alignment/>
    </xf>
    <xf numFmtId="0" fontId="33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45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5" fillId="0" borderId="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/>
    </xf>
    <xf numFmtId="0" fontId="32" fillId="0" borderId="9" xfId="0" applyFon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0" xfId="0" applyFont="1" applyFill="1" applyAlignment="1">
      <alignment/>
    </xf>
    <xf numFmtId="0" fontId="15" fillId="0" borderId="33" xfId="0" applyFont="1" applyFill="1" applyBorder="1" applyAlignment="1">
      <alignment/>
    </xf>
    <xf numFmtId="0" fontId="37" fillId="0" borderId="9" xfId="0" applyFont="1" applyFill="1" applyBorder="1" applyAlignment="1">
      <alignment horizontal="center"/>
    </xf>
    <xf numFmtId="0" fontId="15" fillId="0" borderId="47" xfId="0" applyFont="1" applyFill="1" applyBorder="1" applyAlignment="1">
      <alignment/>
    </xf>
    <xf numFmtId="0" fontId="37" fillId="0" borderId="39" xfId="0" applyFont="1" applyFill="1" applyBorder="1" applyAlignment="1">
      <alignment horizontal="center"/>
    </xf>
    <xf numFmtId="0" fontId="21" fillId="0" borderId="33" xfId="0" applyFont="1" applyBorder="1" applyAlignment="1">
      <alignment/>
    </xf>
    <xf numFmtId="0" fontId="37" fillId="0" borderId="9" xfId="0" applyFont="1" applyBorder="1" applyAlignment="1">
      <alignment horizontal="center"/>
    </xf>
    <xf numFmtId="0" fontId="0" fillId="0" borderId="33" xfId="0" applyBorder="1" applyAlignment="1">
      <alignment/>
    </xf>
    <xf numFmtId="1" fontId="33" fillId="0" borderId="30" xfId="0" applyNumberFormat="1" applyFont="1" applyFill="1" applyBorder="1" applyAlignment="1">
      <alignment/>
    </xf>
    <xf numFmtId="1" fontId="33" fillId="0" borderId="8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1" fontId="35" fillId="0" borderId="0" xfId="0" applyNumberFormat="1" applyFont="1" applyFill="1" applyAlignment="1">
      <alignment/>
    </xf>
    <xf numFmtId="1" fontId="21" fillId="0" borderId="5" xfId="0" applyNumberFormat="1" applyFont="1" applyFill="1" applyBorder="1" applyAlignment="1">
      <alignment/>
    </xf>
    <xf numFmtId="1" fontId="21" fillId="0" borderId="8" xfId="0" applyNumberFormat="1" applyFont="1" applyFill="1" applyBorder="1" applyAlignment="1">
      <alignment/>
    </xf>
    <xf numFmtId="0" fontId="15" fillId="0" borderId="47" xfId="0" applyFont="1" applyBorder="1" applyAlignment="1">
      <alignment/>
    </xf>
    <xf numFmtId="0" fontId="5" fillId="0" borderId="33" xfId="0" applyFont="1" applyBorder="1" applyAlignment="1">
      <alignment/>
    </xf>
    <xf numFmtId="0" fontId="19" fillId="0" borderId="33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35" xfId="0" applyFont="1" applyFill="1" applyBorder="1" applyAlignment="1">
      <alignment/>
    </xf>
    <xf numFmtId="1" fontId="33" fillId="0" borderId="21" xfId="0" applyNumberFormat="1" applyFont="1" applyFill="1" applyBorder="1" applyAlignment="1">
      <alignment/>
    </xf>
    <xf numFmtId="1" fontId="21" fillId="0" borderId="2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33" xfId="0" applyFont="1" applyBorder="1" applyAlignment="1">
      <alignment/>
    </xf>
    <xf numFmtId="0" fontId="15" fillId="0" borderId="1" xfId="0" applyFont="1" applyFill="1" applyBorder="1" applyAlignment="1">
      <alignment/>
    </xf>
    <xf numFmtId="1" fontId="33" fillId="0" borderId="6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1" fontId="21" fillId="0" borderId="6" xfId="0" applyNumberFormat="1" applyFont="1" applyFill="1" applyBorder="1" applyAlignment="1">
      <alignment/>
    </xf>
    <xf numFmtId="1" fontId="21" fillId="0" borderId="27" xfId="0" applyNumberFormat="1" applyFont="1" applyFill="1" applyBorder="1" applyAlignment="1">
      <alignment/>
    </xf>
    <xf numFmtId="3" fontId="21" fillId="0" borderId="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34" xfId="0" applyBorder="1" applyAlignment="1">
      <alignment/>
    </xf>
    <xf numFmtId="0" fontId="37" fillId="0" borderId="36" xfId="0" applyFont="1" applyBorder="1" applyAlignment="1">
      <alignment horizontal="center" vertical="center"/>
    </xf>
    <xf numFmtId="1" fontId="33" fillId="0" borderId="8" xfId="0" applyNumberFormat="1" applyFont="1" applyFill="1" applyBorder="1" applyAlignment="1">
      <alignment horizontal="right"/>
    </xf>
    <xf numFmtId="1" fontId="21" fillId="0" borderId="26" xfId="0" applyNumberFormat="1" applyFont="1" applyFill="1" applyBorder="1" applyAlignment="1">
      <alignment/>
    </xf>
    <xf numFmtId="1" fontId="33" fillId="0" borderId="8" xfId="0" applyNumberFormat="1" applyFont="1" applyFill="1" applyBorder="1" applyAlignment="1">
      <alignment vertical="center" wrapText="1"/>
    </xf>
    <xf numFmtId="0" fontId="33" fillId="0" borderId="8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/>
    </xf>
    <xf numFmtId="1" fontId="21" fillId="0" borderId="8" xfId="0" applyNumberFormat="1" applyFont="1" applyFill="1" applyBorder="1" applyAlignment="1">
      <alignment vertical="center" wrapText="1"/>
    </xf>
    <xf numFmtId="1" fontId="33" fillId="0" borderId="27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1" fontId="33" fillId="0" borderId="0" xfId="0" applyNumberFormat="1" applyFont="1" applyFill="1" applyAlignment="1">
      <alignment/>
    </xf>
    <xf numFmtId="0" fontId="33" fillId="0" borderId="7" xfId="0" applyFont="1" applyBorder="1" applyAlignment="1">
      <alignment vertical="center" wrapText="1"/>
    </xf>
    <xf numFmtId="1" fontId="33" fillId="0" borderId="8" xfId="0" applyNumberFormat="1" applyFont="1" applyBorder="1" applyAlignment="1">
      <alignment/>
    </xf>
    <xf numFmtId="1" fontId="34" fillId="0" borderId="8" xfId="0" applyNumberFormat="1" applyFont="1" applyBorder="1" applyAlignment="1">
      <alignment vertical="center" wrapText="1"/>
    </xf>
    <xf numFmtId="0" fontId="35" fillId="0" borderId="0" xfId="0" applyFont="1" applyAlignment="1">
      <alignment vertical="center"/>
    </xf>
    <xf numFmtId="1" fontId="33" fillId="0" borderId="7" xfId="0" applyNumberFormat="1" applyFont="1" applyBorder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4" fillId="0" borderId="8" xfId="0" applyFont="1" applyBorder="1" applyAlignment="1">
      <alignment vertical="center" wrapText="1"/>
    </xf>
    <xf numFmtId="1" fontId="35" fillId="0" borderId="0" xfId="0" applyNumberFormat="1" applyFont="1" applyBorder="1" applyAlignment="1">
      <alignment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1" fontId="33" fillId="0" borderId="7" xfId="0" applyNumberFormat="1" applyFont="1" applyFill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1" fontId="33" fillId="0" borderId="21" xfId="0" applyNumberFormat="1" applyFont="1" applyFill="1" applyBorder="1" applyAlignment="1">
      <alignment vertical="center" wrapText="1"/>
    </xf>
    <xf numFmtId="1" fontId="33" fillId="0" borderId="24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1" fontId="33" fillId="0" borderId="0" xfId="0" applyNumberFormat="1" applyFont="1" applyFill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1" fontId="21" fillId="0" borderId="6" xfId="0" applyNumberFormat="1" applyFont="1" applyFill="1" applyBorder="1" applyAlignment="1">
      <alignment vertical="center" wrapText="1"/>
    </xf>
    <xf numFmtId="1" fontId="21" fillId="0" borderId="27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15" fillId="0" borderId="33" xfId="0" applyNumberFormat="1" applyFont="1" applyBorder="1" applyAlignment="1">
      <alignment horizontal="right"/>
    </xf>
    <xf numFmtId="49" fontId="33" fillId="0" borderId="3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49" fontId="21" fillId="0" borderId="27" xfId="0" applyNumberFormat="1" applyFont="1" applyBorder="1" applyAlignment="1">
      <alignment horizontal="right"/>
    </xf>
    <xf numFmtId="0" fontId="15" fillId="0" borderId="46" xfId="0" applyFont="1" applyBorder="1" applyAlignment="1">
      <alignment/>
    </xf>
    <xf numFmtId="0" fontId="33" fillId="0" borderId="5" xfId="0" applyFont="1" applyBorder="1" applyAlignment="1">
      <alignment/>
    </xf>
    <xf numFmtId="0" fontId="33" fillId="0" borderId="6" xfId="0" applyFont="1" applyBorder="1" applyAlignment="1">
      <alignment/>
    </xf>
    <xf numFmtId="0" fontId="35" fillId="0" borderId="0" xfId="0" applyFont="1" applyAlignment="1">
      <alignment/>
    </xf>
    <xf numFmtId="0" fontId="37" fillId="0" borderId="3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3" xfId="0" applyFont="1" applyFill="1" applyBorder="1" applyAlignment="1">
      <alignment wrapText="1"/>
    </xf>
    <xf numFmtId="0" fontId="15" fillId="0" borderId="62" xfId="0" applyFont="1" applyBorder="1" applyAlignment="1">
      <alignment/>
    </xf>
    <xf numFmtId="1" fontId="36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0" fontId="37" fillId="0" borderId="3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1" fontId="33" fillId="0" borderId="0" xfId="0" applyNumberFormat="1" applyFont="1" applyFill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21" fillId="0" borderId="35" xfId="0" applyNumberFormat="1" applyFont="1" applyFill="1" applyBorder="1" applyAlignment="1">
      <alignment vertical="center" wrapText="1"/>
    </xf>
    <xf numFmtId="1" fontId="34" fillId="0" borderId="0" xfId="0" applyNumberFormat="1" applyFont="1" applyFill="1" applyBorder="1" applyAlignment="1">
      <alignment vertical="center" wrapText="1"/>
    </xf>
    <xf numFmtId="0" fontId="21" fillId="0" borderId="35" xfId="0" applyFont="1" applyBorder="1" applyAlignment="1">
      <alignment/>
    </xf>
    <xf numFmtId="0" fontId="15" fillId="0" borderId="47" xfId="0" applyFont="1" applyBorder="1" applyAlignment="1">
      <alignment horizontal="center" vertical="center" wrapText="1"/>
    </xf>
    <xf numFmtId="0" fontId="19" fillId="0" borderId="63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6" xfId="0" applyFont="1" applyBorder="1" applyAlignment="1">
      <alignment/>
    </xf>
    <xf numFmtId="0" fontId="21" fillId="0" borderId="8" xfId="0" applyFont="1" applyBorder="1" applyAlignment="1">
      <alignment/>
    </xf>
    <xf numFmtId="0" fontId="15" fillId="0" borderId="3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15" fillId="0" borderId="0" xfId="0" applyNumberFormat="1" applyFont="1" applyFill="1" applyBorder="1" applyAlignment="1">
      <alignment vertic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" fontId="24" fillId="0" borderId="0" xfId="0" applyNumberFormat="1" applyFont="1" applyAlignment="1">
      <alignment/>
    </xf>
    <xf numFmtId="0" fontId="18" fillId="0" borderId="45" xfId="0" applyFont="1" applyBorder="1" applyAlignment="1">
      <alignment vertical="center"/>
    </xf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/>
    </xf>
    <xf numFmtId="1" fontId="18" fillId="0" borderId="3" xfId="0" applyNumberFormat="1" applyFont="1" applyBorder="1" applyAlignment="1">
      <alignment/>
    </xf>
    <xf numFmtId="0" fontId="21" fillId="0" borderId="39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" fontId="15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1" fontId="15" fillId="0" borderId="17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 wrapText="1"/>
    </xf>
    <xf numFmtId="3" fontId="21" fillId="0" borderId="5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right"/>
    </xf>
    <xf numFmtId="3" fontId="15" fillId="0" borderId="0" xfId="0" applyNumberFormat="1" applyFont="1" applyFill="1" applyAlignment="1">
      <alignment vertical="center"/>
    </xf>
    <xf numFmtId="3" fontId="28" fillId="2" borderId="55" xfId="21" applyNumberFormat="1" applyFont="1" applyFill="1" applyBorder="1" applyAlignment="1">
      <alignment/>
    </xf>
    <xf numFmtId="3" fontId="28" fillId="2" borderId="64" xfId="21" applyNumberFormat="1" applyFont="1" applyFill="1" applyBorder="1" applyAlignment="1">
      <alignment/>
    </xf>
    <xf numFmtId="0" fontId="15" fillId="0" borderId="46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29" fillId="5" borderId="14" xfId="0" applyFont="1" applyFill="1" applyBorder="1" applyAlignment="1">
      <alignment vertical="center" wrapText="1"/>
    </xf>
    <xf numFmtId="0" fontId="29" fillId="5" borderId="13" xfId="0" applyFont="1" applyFill="1" applyBorder="1" applyAlignment="1">
      <alignment vertical="center" wrapText="1"/>
    </xf>
    <xf numFmtId="0" fontId="29" fillId="5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3" fontId="15" fillId="0" borderId="47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8" fillId="6" borderId="57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180" fontId="0" fillId="2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7" xfId="0" applyFont="1" applyFill="1" applyBorder="1" applyAlignment="1">
      <alignment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34" fillId="0" borderId="0" xfId="0" applyFont="1" applyFill="1" applyAlignment="1">
      <alignment horizontal="justify" vertical="center"/>
    </xf>
    <xf numFmtId="2" fontId="34" fillId="0" borderId="0" xfId="0" applyNumberFormat="1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16" fillId="0" borderId="0" xfId="0" applyNumberFormat="1" applyFont="1" applyFill="1" applyAlignment="1">
      <alignment horizontal="justify" vertical="center"/>
    </xf>
    <xf numFmtId="1" fontId="2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33" xfId="0" applyFont="1" applyFill="1" applyBorder="1" applyAlignment="1">
      <alignment horizontal="justify" vertical="top" wrapText="1"/>
    </xf>
    <xf numFmtId="0" fontId="15" fillId="0" borderId="45" xfId="0" applyFont="1" applyFill="1" applyBorder="1" applyAlignment="1">
      <alignment horizontal="justify" vertical="top" wrapText="1"/>
    </xf>
    <xf numFmtId="0" fontId="15" fillId="0" borderId="9" xfId="0" applyFont="1" applyFill="1" applyBorder="1" applyAlignment="1">
      <alignment horizontal="justify" vertical="top" wrapText="1"/>
    </xf>
    <xf numFmtId="0" fontId="15" fillId="0" borderId="29" xfId="0" applyFont="1" applyFill="1" applyBorder="1" applyAlignment="1">
      <alignment horizontal="justify" vertical="top" wrapText="1"/>
    </xf>
    <xf numFmtId="1" fontId="15" fillId="0" borderId="29" xfId="0" applyNumberFormat="1" applyFont="1" applyFill="1" applyBorder="1" applyAlignment="1">
      <alignment horizontal="justify" vertical="top" wrapText="1"/>
    </xf>
    <xf numFmtId="1" fontId="33" fillId="0" borderId="8" xfId="0" applyNumberFormat="1" applyFont="1" applyFill="1" applyBorder="1" applyAlignment="1">
      <alignment horizontal="justify" vertical="top" wrapText="1"/>
    </xf>
    <xf numFmtId="1" fontId="2" fillId="0" borderId="29" xfId="0" applyNumberFormat="1" applyFont="1" applyFill="1" applyBorder="1" applyAlignment="1">
      <alignment horizontal="justify" vertical="top" wrapText="1"/>
    </xf>
    <xf numFmtId="1" fontId="15" fillId="0" borderId="32" xfId="0" applyNumberFormat="1" applyFont="1" applyFill="1" applyBorder="1" applyAlignment="1">
      <alignment horizontal="justify" vertical="top" wrapText="1"/>
    </xf>
    <xf numFmtId="0" fontId="15" fillId="0" borderId="29" xfId="0" applyFont="1" applyFill="1" applyBorder="1" applyAlignment="1">
      <alignment horizontal="justify" vertical="top"/>
    </xf>
    <xf numFmtId="0" fontId="33" fillId="0" borderId="8" xfId="0" applyFont="1" applyFill="1" applyBorder="1" applyAlignment="1">
      <alignment horizontal="justify" vertical="top" wrapText="1"/>
    </xf>
    <xf numFmtId="1" fontId="21" fillId="0" borderId="8" xfId="0" applyNumberFormat="1" applyFont="1" applyFill="1" applyBorder="1" applyAlignment="1">
      <alignment horizontal="justify" vertical="top" wrapText="1"/>
    </xf>
    <xf numFmtId="0" fontId="27" fillId="0" borderId="0" xfId="0" applyFont="1" applyFill="1" applyAlignment="1">
      <alignment horizontal="justify" wrapText="1"/>
    </xf>
    <xf numFmtId="0" fontId="38" fillId="0" borderId="0" xfId="0" applyFont="1" applyFill="1" applyAlignment="1">
      <alignment horizontal="justify" wrapText="1"/>
    </xf>
    <xf numFmtId="0" fontId="27" fillId="0" borderId="0" xfId="0" applyFont="1" applyFill="1" applyBorder="1" applyAlignment="1">
      <alignment horizontal="justify" wrapText="1"/>
    </xf>
    <xf numFmtId="0" fontId="39" fillId="0" borderId="0" xfId="0" applyFont="1" applyFill="1" applyAlignment="1">
      <alignment horizontal="justify" wrapText="1"/>
    </xf>
    <xf numFmtId="0" fontId="27" fillId="0" borderId="0" xfId="0" applyFont="1" applyFill="1" applyAlignment="1">
      <alignment horizontal="justify"/>
    </xf>
    <xf numFmtId="0" fontId="27" fillId="0" borderId="0" xfId="0" applyFont="1" applyFill="1" applyBorder="1" applyAlignment="1">
      <alignment horizontal="justify"/>
    </xf>
    <xf numFmtId="0" fontId="27" fillId="0" borderId="0" xfId="0" applyFont="1" applyAlignment="1">
      <alignment horizontal="justify"/>
    </xf>
    <xf numFmtId="0" fontId="38" fillId="0" borderId="0" xfId="0" applyFont="1" applyFill="1" applyAlignment="1">
      <alignment horizontal="justify"/>
    </xf>
    <xf numFmtId="0" fontId="25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1" fontId="38" fillId="0" borderId="0" xfId="0" applyNumberFormat="1" applyFont="1" applyFill="1" applyAlignment="1">
      <alignment horizontal="justify"/>
    </xf>
    <xf numFmtId="1" fontId="27" fillId="0" borderId="0" xfId="0" applyNumberFormat="1" applyFont="1" applyFill="1" applyAlignment="1">
      <alignment horizontal="justify"/>
    </xf>
    <xf numFmtId="0" fontId="38" fillId="0" borderId="0" xfId="0" applyFont="1" applyFill="1" applyBorder="1" applyAlignment="1">
      <alignment horizontal="justify"/>
    </xf>
    <xf numFmtId="0" fontId="39" fillId="0" borderId="0" xfId="0" applyFont="1" applyFill="1" applyAlignment="1">
      <alignment horizontal="justify"/>
    </xf>
    <xf numFmtId="0" fontId="25" fillId="0" borderId="0" xfId="0" applyFont="1" applyBorder="1" applyAlignment="1">
      <alignment horizontal="justify"/>
    </xf>
    <xf numFmtId="0" fontId="40" fillId="0" borderId="0" xfId="0" applyFont="1" applyAlignment="1">
      <alignment horizontal="justify"/>
    </xf>
    <xf numFmtId="0" fontId="40" fillId="0" borderId="0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15" fillId="4" borderId="13" xfId="0" applyFont="1" applyFill="1" applyBorder="1" applyAlignment="1">
      <alignment/>
    </xf>
    <xf numFmtId="0" fontId="15" fillId="4" borderId="0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2" fontId="15" fillId="0" borderId="15" xfId="0" applyNumberFormat="1" applyFont="1" applyBorder="1" applyAlignment="1">
      <alignment/>
    </xf>
    <xf numFmtId="2" fontId="15" fillId="0" borderId="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18" fillId="0" borderId="30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0" fontId="24" fillId="0" borderId="3" xfId="0" applyFont="1" applyFill="1" applyBorder="1" applyAlignment="1">
      <alignment/>
    </xf>
    <xf numFmtId="0" fontId="33" fillId="0" borderId="65" xfId="0" applyFont="1" applyFill="1" applyBorder="1" applyAlignment="1">
      <alignment/>
    </xf>
    <xf numFmtId="0" fontId="19" fillId="0" borderId="0" xfId="0" applyFont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64" fontId="19" fillId="0" borderId="0" xfId="0" applyNumberFormat="1" applyFont="1" applyBorder="1" applyAlignment="1">
      <alignment/>
    </xf>
    <xf numFmtId="0" fontId="15" fillId="0" borderId="63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" fontId="15" fillId="0" borderId="43" xfId="0" applyNumberFormat="1" applyFont="1" applyBorder="1" applyAlignment="1">
      <alignment vertical="center"/>
    </xf>
    <xf numFmtId="1" fontId="15" fillId="0" borderId="43" xfId="0" applyNumberFormat="1" applyFont="1" applyBorder="1" applyAlignment="1">
      <alignment vertical="center" wrapText="1"/>
    </xf>
    <xf numFmtId="0" fontId="19" fillId="0" borderId="67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49" fontId="33" fillId="0" borderId="35" xfId="0" applyNumberFormat="1" applyFont="1" applyBorder="1" applyAlignment="1">
      <alignment horizontal="right"/>
    </xf>
    <xf numFmtId="0" fontId="21" fillId="0" borderId="53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/>
    </xf>
    <xf numFmtId="0" fontId="7" fillId="0" borderId="27" xfId="0" applyFont="1" applyBorder="1" applyAlignment="1">
      <alignment/>
    </xf>
    <xf numFmtId="0" fontId="18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5" fillId="0" borderId="6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vertic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justify"/>
    </xf>
    <xf numFmtId="0" fontId="15" fillId="0" borderId="40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164" fontId="15" fillId="0" borderId="55" xfId="16" applyNumberFormat="1" applyFont="1" applyFill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164" fontId="19" fillId="0" borderId="64" xfId="16" applyNumberFormat="1" applyFont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9" fillId="3" borderId="31" xfId="0" applyNumberFormat="1" applyFont="1" applyFill="1" applyBorder="1" applyAlignment="1">
      <alignment vertical="center"/>
    </xf>
    <xf numFmtId="3" fontId="19" fillId="3" borderId="43" xfId="0" applyNumberFormat="1" applyFont="1" applyFill="1" applyBorder="1" applyAlignment="1">
      <alignment vertical="center" wrapText="1"/>
    </xf>
    <xf numFmtId="49" fontId="15" fillId="0" borderId="40" xfId="0" applyNumberFormat="1" applyFont="1" applyBorder="1" applyAlignment="1">
      <alignment vertical="center" wrapText="1"/>
    </xf>
    <xf numFmtId="3" fontId="15" fillId="0" borderId="55" xfId="0" applyNumberFormat="1" applyFont="1" applyBorder="1" applyAlignment="1">
      <alignment vertical="center" wrapText="1"/>
    </xf>
    <xf numFmtId="49" fontId="19" fillId="3" borderId="40" xfId="0" applyNumberFormat="1" applyFont="1" applyFill="1" applyBorder="1" applyAlignment="1">
      <alignment vertical="center" wrapText="1"/>
    </xf>
    <xf numFmtId="3" fontId="19" fillId="3" borderId="55" xfId="0" applyNumberFormat="1" applyFont="1" applyFill="1" applyBorder="1" applyAlignment="1">
      <alignment vertical="center" wrapText="1"/>
    </xf>
    <xf numFmtId="49" fontId="15" fillId="0" borderId="40" xfId="0" applyNumberFormat="1" applyFont="1" applyFill="1" applyBorder="1" applyAlignment="1">
      <alignment vertical="center" wrapText="1"/>
    </xf>
    <xf numFmtId="3" fontId="15" fillId="0" borderId="55" xfId="0" applyNumberFormat="1" applyFont="1" applyFill="1" applyBorder="1" applyAlignment="1">
      <alignment vertical="center" wrapText="1"/>
    </xf>
    <xf numFmtId="3" fontId="19" fillId="3" borderId="61" xfId="0" applyNumberFormat="1" applyFont="1" applyFill="1" applyBorder="1" applyAlignment="1">
      <alignment vertical="center" wrapText="1"/>
    </xf>
    <xf numFmtId="49" fontId="19" fillId="2" borderId="30" xfId="0" applyNumberFormat="1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3" fontId="19" fillId="2" borderId="21" xfId="0" applyNumberFormat="1" applyFont="1" applyFill="1" applyBorder="1" applyAlignment="1">
      <alignment vertical="center" wrapText="1"/>
    </xf>
    <xf numFmtId="0" fontId="15" fillId="0" borderId="40" xfId="0" applyFont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56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44" xfId="0" applyNumberFormat="1" applyFont="1" applyFill="1" applyBorder="1" applyAlignment="1">
      <alignment vertical="center"/>
    </xf>
    <xf numFmtId="0" fontId="15" fillId="0" borderId="40" xfId="0" applyFont="1" applyFill="1" applyBorder="1" applyAlignment="1">
      <alignment horizontal="right" vertical="center"/>
    </xf>
    <xf numFmtId="3" fontId="15" fillId="0" borderId="55" xfId="0" applyNumberFormat="1" applyFont="1" applyFill="1" applyBorder="1" applyAlignment="1">
      <alignment horizontal="right" vertical="center" wrapText="1"/>
    </xf>
    <xf numFmtId="0" fontId="15" fillId="0" borderId="40" xfId="0" applyFont="1" applyFill="1" applyBorder="1" applyAlignment="1">
      <alignment horizontal="right" vertical="center" wrapText="1"/>
    </xf>
    <xf numFmtId="3" fontId="15" fillId="0" borderId="55" xfId="0" applyNumberFormat="1" applyFont="1" applyFill="1" applyBorder="1" applyAlignment="1">
      <alignment vertical="center"/>
    </xf>
    <xf numFmtId="3" fontId="15" fillId="0" borderId="61" xfId="0" applyNumberFormat="1" applyFont="1" applyFill="1" applyBorder="1" applyAlignment="1">
      <alignment vertical="center"/>
    </xf>
    <xf numFmtId="0" fontId="15" fillId="0" borderId="40" xfId="0" applyFont="1" applyFill="1" applyBorder="1" applyAlignment="1">
      <alignment vertical="center" wrapText="1"/>
    </xf>
    <xf numFmtId="3" fontId="15" fillId="0" borderId="4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3" fontId="15" fillId="0" borderId="32" xfId="0" applyNumberFormat="1" applyFont="1" applyFill="1" applyBorder="1" applyAlignment="1">
      <alignment vertical="center"/>
    </xf>
    <xf numFmtId="3" fontId="15" fillId="0" borderId="43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/>
    </xf>
    <xf numFmtId="49" fontId="15" fillId="0" borderId="40" xfId="0" applyNumberFormat="1" applyFont="1" applyFill="1" applyBorder="1" applyAlignment="1">
      <alignment vertical="center" wrapText="1"/>
    </xf>
    <xf numFmtId="3" fontId="15" fillId="0" borderId="55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15" fillId="0" borderId="38" xfId="0" applyNumberFormat="1" applyFont="1" applyFill="1" applyBorder="1" applyAlignment="1">
      <alignment vertical="center" wrapText="1"/>
    </xf>
    <xf numFmtId="3" fontId="15" fillId="0" borderId="61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28" fillId="2" borderId="8" xfId="21" applyNumberFormat="1" applyFont="1" applyFill="1" applyBorder="1" applyAlignment="1">
      <alignment/>
    </xf>
    <xf numFmtId="3" fontId="9" fillId="2" borderId="55" xfId="21" applyNumberFormat="1" applyFont="1" applyFill="1" applyBorder="1" applyAlignment="1">
      <alignment/>
    </xf>
    <xf numFmtId="0" fontId="5" fillId="3" borderId="58" xfId="0" applyFont="1" applyFill="1" applyBorder="1" applyAlignment="1">
      <alignment horizontal="center"/>
    </xf>
    <xf numFmtId="3" fontId="0" fillId="3" borderId="14" xfId="0" applyNumberFormat="1" applyFont="1" applyFill="1" applyBorder="1" applyAlignment="1">
      <alignment/>
    </xf>
    <xf numFmtId="180" fontId="0" fillId="3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 horizontal="right"/>
    </xf>
    <xf numFmtId="3" fontId="0" fillId="2" borderId="46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15" fillId="0" borderId="44" xfId="0" applyNumberFormat="1" applyFont="1" applyFill="1" applyBorder="1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19" fillId="0" borderId="6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8" fillId="0" borderId="3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0" xfId="0" applyFont="1" applyAlignment="1">
      <alignment/>
    </xf>
    <xf numFmtId="3" fontId="0" fillId="0" borderId="14" xfId="0" applyNumberFormat="1" applyFont="1" applyBorder="1" applyAlignment="1" quotePrefix="1">
      <alignment/>
    </xf>
    <xf numFmtId="0" fontId="44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15" fillId="0" borderId="69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3" fontId="15" fillId="0" borderId="1" xfId="0" applyNumberFormat="1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vertical="center" wrapText="1"/>
    </xf>
    <xf numFmtId="3" fontId="29" fillId="0" borderId="9" xfId="0" applyNumberFormat="1" applyFont="1" applyFill="1" applyBorder="1" applyAlignment="1">
      <alignment vertical="center" wrapText="1"/>
    </xf>
    <xf numFmtId="3" fontId="29" fillId="0" borderId="18" xfId="0" applyNumberFormat="1" applyFont="1" applyFill="1" applyBorder="1" applyAlignment="1">
      <alignment vertical="center" wrapText="1"/>
    </xf>
    <xf numFmtId="3" fontId="29" fillId="0" borderId="7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62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center" vertical="center" wrapText="1"/>
    </xf>
    <xf numFmtId="1" fontId="33" fillId="0" borderId="5" xfId="0" applyNumberFormat="1" applyFont="1" applyFill="1" applyBorder="1" applyAlignment="1">
      <alignment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0" fontId="0" fillId="0" borderId="63" xfId="0" applyFont="1" applyFill="1" applyBorder="1" applyAlignment="1">
      <alignment vertical="center" wrapText="1"/>
    </xf>
    <xf numFmtId="1" fontId="15" fillId="0" borderId="4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48" fillId="0" borderId="7" xfId="0" applyFont="1" applyFill="1" applyBorder="1" applyAlignment="1">
      <alignment/>
    </xf>
    <xf numFmtId="0" fontId="48" fillId="0" borderId="6" xfId="0" applyFont="1" applyFill="1" applyBorder="1" applyAlignment="1">
      <alignment/>
    </xf>
    <xf numFmtId="0" fontId="48" fillId="0" borderId="5" xfId="0" applyFont="1" applyFill="1" applyBorder="1" applyAlignment="1">
      <alignment/>
    </xf>
    <xf numFmtId="1" fontId="48" fillId="0" borderId="5" xfId="0" applyNumberFormat="1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22" fillId="0" borderId="0" xfId="0" applyFont="1" applyBorder="1" applyAlignment="1">
      <alignment/>
    </xf>
    <xf numFmtId="1" fontId="48" fillId="0" borderId="0" xfId="0" applyNumberFormat="1" applyFont="1" applyAlignment="1">
      <alignment/>
    </xf>
    <xf numFmtId="0" fontId="48" fillId="0" borderId="3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6" xfId="0" applyFont="1" applyBorder="1" applyAlignment="1">
      <alignment/>
    </xf>
    <xf numFmtId="0" fontId="48" fillId="0" borderId="5" xfId="0" applyFont="1" applyBorder="1" applyAlignment="1">
      <alignment/>
    </xf>
    <xf numFmtId="0" fontId="48" fillId="0" borderId="8" xfId="0" applyFont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48" fillId="0" borderId="8" xfId="0" applyFont="1" applyFill="1" applyBorder="1" applyAlignment="1">
      <alignment/>
    </xf>
    <xf numFmtId="0" fontId="22" fillId="0" borderId="0" xfId="0" applyFont="1" applyFill="1" applyAlignment="1">
      <alignment/>
    </xf>
    <xf numFmtId="0" fontId="15" fillId="0" borderId="4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wrapText="1"/>
    </xf>
    <xf numFmtId="1" fontId="48" fillId="0" borderId="7" xfId="0" applyNumberFormat="1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0" xfId="0" applyFont="1" applyFill="1" applyAlignment="1">
      <alignment/>
    </xf>
    <xf numFmtId="169" fontId="15" fillId="0" borderId="2" xfId="0" applyNumberFormat="1" applyFont="1" applyFill="1" applyBorder="1" applyAlignment="1">
      <alignment/>
    </xf>
    <xf numFmtId="0" fontId="15" fillId="0" borderId="29" xfId="0" applyFont="1" applyFill="1" applyBorder="1" applyAlignment="1">
      <alignment vertical="top" wrapText="1"/>
    </xf>
    <xf numFmtId="0" fontId="25" fillId="0" borderId="0" xfId="0" applyFont="1" applyFill="1" applyAlignment="1">
      <alignment horizontal="justify" vertical="center"/>
    </xf>
    <xf numFmtId="1" fontId="15" fillId="0" borderId="25" xfId="0" applyNumberFormat="1" applyFont="1" applyFill="1" applyBorder="1" applyAlignment="1">
      <alignment vertical="center"/>
    </xf>
    <xf numFmtId="1" fontId="15" fillId="0" borderId="0" xfId="0" applyNumberFormat="1" applyFont="1" applyBorder="1" applyAlignment="1">
      <alignment/>
    </xf>
    <xf numFmtId="0" fontId="15" fillId="0" borderId="2" xfId="0" applyFont="1" applyFill="1" applyBorder="1" applyAlignment="1">
      <alignment wrapText="1"/>
    </xf>
    <xf numFmtId="1" fontId="15" fillId="0" borderId="4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15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1" fontId="15" fillId="0" borderId="2" xfId="0" applyNumberFormat="1" applyFont="1" applyBorder="1" applyAlignment="1">
      <alignment vertical="center"/>
    </xf>
    <xf numFmtId="0" fontId="15" fillId="0" borderId="17" xfId="0" applyFont="1" applyFill="1" applyBorder="1" applyAlignment="1">
      <alignment horizontal="right"/>
    </xf>
    <xf numFmtId="1" fontId="2" fillId="0" borderId="32" xfId="0" applyNumberFormat="1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15" fillId="0" borderId="49" xfId="0" applyFont="1" applyFill="1" applyBorder="1" applyAlignment="1">
      <alignment/>
    </xf>
    <xf numFmtId="0" fontId="15" fillId="0" borderId="68" xfId="0" applyFont="1" applyBorder="1" applyAlignment="1">
      <alignment vertical="center" wrapText="1"/>
    </xf>
    <xf numFmtId="1" fontId="15" fillId="0" borderId="17" xfId="0" applyNumberFormat="1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 vertical="center" wrapText="1"/>
    </xf>
    <xf numFmtId="0" fontId="15" fillId="0" borderId="32" xfId="0" applyFont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15" fillId="0" borderId="20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15" fillId="0" borderId="19" xfId="0" applyFont="1" applyBorder="1" applyAlignment="1">
      <alignment vertical="center" wrapText="1"/>
    </xf>
    <xf numFmtId="0" fontId="44" fillId="0" borderId="4" xfId="0" applyFont="1" applyBorder="1" applyAlignment="1">
      <alignment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vertical="center" wrapText="1"/>
    </xf>
    <xf numFmtId="1" fontId="15" fillId="0" borderId="16" xfId="0" applyNumberFormat="1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 wrapText="1"/>
    </xf>
    <xf numFmtId="1" fontId="15" fillId="0" borderId="13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justify" wrapText="1"/>
    </xf>
    <xf numFmtId="0" fontId="18" fillId="0" borderId="22" xfId="0" applyFont="1" applyFill="1" applyBorder="1" applyAlignment="1">
      <alignment/>
    </xf>
    <xf numFmtId="0" fontId="42" fillId="0" borderId="0" xfId="0" applyFont="1" applyFill="1" applyAlignment="1">
      <alignment horizontal="justify"/>
    </xf>
    <xf numFmtId="1" fontId="30" fillId="0" borderId="0" xfId="0" applyNumberFormat="1" applyFont="1" applyFill="1" applyAlignment="1">
      <alignment/>
    </xf>
    <xf numFmtId="0" fontId="19" fillId="0" borderId="13" xfId="0" applyFont="1" applyFill="1" applyBorder="1" applyAlignment="1">
      <alignment/>
    </xf>
    <xf numFmtId="9" fontId="15" fillId="0" borderId="3" xfId="19" applyFont="1" applyFill="1" applyBorder="1" applyAlignment="1">
      <alignment/>
    </xf>
    <xf numFmtId="1" fontId="15" fillId="0" borderId="4" xfId="0" applyNumberFormat="1" applyFont="1" applyBorder="1" applyAlignment="1">
      <alignment vertical="center" wrapText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12" xfId="0" applyFont="1" applyBorder="1" applyAlignment="1">
      <alignment horizontal="right" vertical="center"/>
    </xf>
    <xf numFmtId="0" fontId="2" fillId="0" borderId="32" xfId="0" applyFont="1" applyBorder="1" applyAlignment="1">
      <alignment vertical="center" wrapText="1"/>
    </xf>
    <xf numFmtId="0" fontId="15" fillId="0" borderId="14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40" xfId="0" applyFont="1" applyBorder="1" applyAlignment="1">
      <alignment horizontal="right" vertical="center"/>
    </xf>
    <xf numFmtId="1" fontId="15" fillId="0" borderId="20" xfId="0" applyNumberFormat="1" applyFont="1" applyFill="1" applyBorder="1" applyAlignment="1">
      <alignment vertical="center" wrapText="1"/>
    </xf>
    <xf numFmtId="1" fontId="15" fillId="0" borderId="16" xfId="0" applyNumberFormat="1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 wrapText="1"/>
    </xf>
    <xf numFmtId="164" fontId="15" fillId="0" borderId="16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5" fillId="0" borderId="51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" fontId="15" fillId="0" borderId="17" xfId="0" applyNumberFormat="1" applyFont="1" applyFill="1" applyBorder="1" applyAlignment="1">
      <alignment vertical="center" wrapText="1"/>
    </xf>
    <xf numFmtId="1" fontId="15" fillId="0" borderId="1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justify" vertical="center"/>
    </xf>
    <xf numFmtId="3" fontId="15" fillId="0" borderId="23" xfId="0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15" fillId="0" borderId="0" xfId="0" applyNumberFormat="1" applyFont="1" applyAlignment="1">
      <alignment/>
    </xf>
    <xf numFmtId="2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5" fillId="0" borderId="57" xfId="0" applyFont="1" applyBorder="1" applyAlignment="1">
      <alignment/>
    </xf>
    <xf numFmtId="2" fontId="5" fillId="0" borderId="58" xfId="0" applyNumberFormat="1" applyFont="1" applyBorder="1" applyAlignment="1">
      <alignment/>
    </xf>
    <xf numFmtId="2" fontId="5" fillId="0" borderId="59" xfId="0" applyNumberFormat="1" applyFont="1" applyBorder="1" applyAlignment="1">
      <alignment/>
    </xf>
    <xf numFmtId="0" fontId="5" fillId="0" borderId="40" xfId="0" applyFont="1" applyBorder="1" applyAlignment="1">
      <alignment/>
    </xf>
    <xf numFmtId="1" fontId="5" fillId="0" borderId="55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0" fillId="0" borderId="55" xfId="0" applyNumberFormat="1" applyBorder="1" applyAlignment="1">
      <alignment/>
    </xf>
    <xf numFmtId="0" fontId="0" fillId="0" borderId="60" xfId="0" applyBorder="1" applyAlignment="1">
      <alignment/>
    </xf>
    <xf numFmtId="2" fontId="5" fillId="0" borderId="46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0" fontId="5" fillId="7" borderId="0" xfId="0" applyFont="1" applyFill="1" applyAlignment="1">
      <alignment/>
    </xf>
    <xf numFmtId="2" fontId="5" fillId="7" borderId="0" xfId="0" applyNumberFormat="1" applyFont="1" applyFill="1" applyAlignment="1">
      <alignment/>
    </xf>
    <xf numFmtId="2" fontId="5" fillId="7" borderId="58" xfId="0" applyNumberFormat="1" applyFont="1" applyFill="1" applyBorder="1" applyAlignment="1">
      <alignment/>
    </xf>
    <xf numFmtId="2" fontId="5" fillId="7" borderId="14" xfId="0" applyNumberFormat="1" applyFont="1" applyFill="1" applyBorder="1" applyAlignment="1">
      <alignment/>
    </xf>
    <xf numFmtId="2" fontId="5" fillId="7" borderId="46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4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5" fillId="4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21" fillId="0" borderId="27" xfId="0" applyFont="1" applyFill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0" borderId="2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47" xfId="0" applyBorder="1" applyAlignment="1">
      <alignment/>
    </xf>
    <xf numFmtId="0" fontId="5" fillId="0" borderId="39" xfId="0" applyFont="1" applyBorder="1" applyAlignment="1">
      <alignment/>
    </xf>
    <xf numFmtId="0" fontId="5" fillId="0" borderId="3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" fontId="2" fillId="0" borderId="42" xfId="0" applyNumberFormat="1" applyFont="1" applyFill="1" applyBorder="1" applyAlignment="1">
      <alignment vertical="center"/>
    </xf>
    <xf numFmtId="1" fontId="2" fillId="0" borderId="65" xfId="0" applyNumberFormat="1" applyFont="1" applyFill="1" applyBorder="1" applyAlignment="1">
      <alignment vertical="center"/>
    </xf>
    <xf numFmtId="0" fontId="15" fillId="0" borderId="54" xfId="0" applyFont="1" applyFill="1" applyBorder="1" applyAlignment="1">
      <alignment/>
    </xf>
    <xf numFmtId="0" fontId="15" fillId="0" borderId="42" xfId="0" applyFont="1" applyFill="1" applyBorder="1" applyAlignment="1">
      <alignment vertical="center"/>
    </xf>
    <xf numFmtId="0" fontId="15" fillId="0" borderId="65" xfId="0" applyFont="1" applyFill="1" applyBorder="1" applyAlignment="1">
      <alignment vertical="center"/>
    </xf>
    <xf numFmtId="0" fontId="15" fillId="0" borderId="19" xfId="0" applyFont="1" applyFill="1" applyBorder="1" applyAlignment="1">
      <alignment/>
    </xf>
    <xf numFmtId="1" fontId="33" fillId="0" borderId="36" xfId="0" applyNumberFormat="1" applyFont="1" applyFill="1" applyBorder="1" applyAlignment="1">
      <alignment/>
    </xf>
    <xf numFmtId="0" fontId="33" fillId="0" borderId="1" xfId="0" applyFont="1" applyFill="1" applyBorder="1" applyAlignment="1">
      <alignment/>
    </xf>
    <xf numFmtId="0" fontId="15" fillId="0" borderId="10" xfId="0" applyFont="1" applyFill="1" applyBorder="1" applyAlignment="1">
      <alignment horizontal="right" vertical="center" wrapText="1"/>
    </xf>
    <xf numFmtId="0" fontId="15" fillId="0" borderId="55" xfId="0" applyFont="1" applyFill="1" applyBorder="1" applyAlignment="1">
      <alignment vertical="center"/>
    </xf>
    <xf numFmtId="1" fontId="15" fillId="0" borderId="16" xfId="0" applyNumberFormat="1" applyFont="1" applyFill="1" applyBorder="1" applyAlignment="1">
      <alignment vertical="center"/>
    </xf>
    <xf numFmtId="1" fontId="15" fillId="0" borderId="14" xfId="0" applyNumberFormat="1" applyFont="1" applyFill="1" applyBorder="1" applyAlignment="1">
      <alignment vertical="center"/>
    </xf>
    <xf numFmtId="1" fontId="15" fillId="0" borderId="20" xfId="0" applyNumberFormat="1" applyFont="1" applyFill="1" applyBorder="1" applyAlignment="1">
      <alignment vertical="center"/>
    </xf>
    <xf numFmtId="1" fontId="15" fillId="0" borderId="19" xfId="0" applyNumberFormat="1" applyFont="1" applyFill="1" applyBorder="1" applyAlignment="1">
      <alignment vertical="center"/>
    </xf>
    <xf numFmtId="1" fontId="15" fillId="0" borderId="18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3" fontId="21" fillId="0" borderId="8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" fontId="21" fillId="0" borderId="8" xfId="0" applyNumberFormat="1" applyFont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1" fontId="18" fillId="0" borderId="49" xfId="0" applyNumberFormat="1" applyFont="1" applyFill="1" applyBorder="1" applyAlignment="1">
      <alignment/>
    </xf>
    <xf numFmtId="0" fontId="18" fillId="0" borderId="65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1" fontId="24" fillId="0" borderId="18" xfId="0" applyNumberFormat="1" applyFont="1" applyFill="1" applyBorder="1" applyAlignment="1">
      <alignment/>
    </xf>
    <xf numFmtId="1" fontId="18" fillId="0" borderId="8" xfId="0" applyNumberFormat="1" applyFont="1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24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1" fontId="18" fillId="4" borderId="8" xfId="0" applyNumberFormat="1" applyFont="1" applyFill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2" fillId="0" borderId="29" xfId="0" applyNumberFormat="1" applyFont="1" applyFill="1" applyBorder="1" applyAlignment="1">
      <alignment vertical="center"/>
    </xf>
    <xf numFmtId="1" fontId="15" fillId="0" borderId="19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33" fillId="0" borderId="63" xfId="0" applyFont="1" applyFill="1" applyBorder="1" applyAlignment="1">
      <alignment horizontal="center"/>
    </xf>
    <xf numFmtId="0" fontId="15" fillId="0" borderId="6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top" wrapText="1"/>
    </xf>
    <xf numFmtId="0" fontId="18" fillId="0" borderId="3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8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33" fillId="0" borderId="2" xfId="0" applyFont="1" applyFill="1" applyBorder="1" applyAlignment="1">
      <alignment/>
    </xf>
    <xf numFmtId="1" fontId="33" fillId="0" borderId="29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19" fillId="0" borderId="2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19" fillId="0" borderId="29" xfId="0" applyNumberFormat="1" applyFont="1" applyFill="1" applyBorder="1" applyAlignment="1">
      <alignment/>
    </xf>
    <xf numFmtId="0" fontId="16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/>
    </xf>
    <xf numFmtId="0" fontId="15" fillId="0" borderId="41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5" fillId="0" borderId="69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1" fontId="33" fillId="0" borderId="4" xfId="0" applyNumberFormat="1" applyFont="1" applyFill="1" applyBorder="1" applyAlignment="1">
      <alignment/>
    </xf>
    <xf numFmtId="0" fontId="15" fillId="0" borderId="31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/>
    </xf>
    <xf numFmtId="0" fontId="33" fillId="0" borderId="63" xfId="0" applyFont="1" applyFill="1" applyBorder="1" applyAlignment="1">
      <alignment/>
    </xf>
    <xf numFmtId="0" fontId="15" fillId="0" borderId="63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horizontal="right" vertical="center" wrapText="1"/>
    </xf>
    <xf numFmtId="1" fontId="15" fillId="0" borderId="46" xfId="0" applyNumberFormat="1" applyFont="1" applyFill="1" applyBorder="1" applyAlignment="1">
      <alignment vertical="center" wrapText="1"/>
    </xf>
    <xf numFmtId="0" fontId="15" fillId="0" borderId="41" xfId="0" applyFont="1" applyBorder="1" applyAlignment="1">
      <alignment horizontal="center"/>
    </xf>
    <xf numFmtId="0" fontId="19" fillId="0" borderId="15" xfId="0" applyFont="1" applyBorder="1" applyAlignment="1">
      <alignment/>
    </xf>
    <xf numFmtId="1" fontId="15" fillId="0" borderId="6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5" fillId="0" borderId="3" xfId="0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/>
    </xf>
    <xf numFmtId="1" fontId="2" fillId="0" borderId="65" xfId="0" applyNumberFormat="1" applyFont="1" applyBorder="1" applyAlignment="1">
      <alignment vertical="center" wrapText="1"/>
    </xf>
    <xf numFmtId="1" fontId="21" fillId="0" borderId="1" xfId="0" applyNumberFormat="1" applyFont="1" applyBorder="1" applyAlignment="1">
      <alignment/>
    </xf>
    <xf numFmtId="0" fontId="21" fillId="4" borderId="33" xfId="0" applyFont="1" applyFill="1" applyBorder="1" applyAlignment="1">
      <alignment/>
    </xf>
    <xf numFmtId="0" fontId="21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/>
    </xf>
    <xf numFmtId="0" fontId="0" fillId="4" borderId="33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33" xfId="0" applyFont="1" applyFill="1" applyBorder="1" applyAlignment="1">
      <alignment/>
    </xf>
    <xf numFmtId="0" fontId="37" fillId="4" borderId="8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9" xfId="0" applyFont="1" applyFill="1" applyBorder="1" applyAlignment="1">
      <alignment vertical="center" wrapText="1"/>
    </xf>
    <xf numFmtId="0" fontId="15" fillId="4" borderId="35" xfId="0" applyFont="1" applyFill="1" applyBorder="1" applyAlignment="1">
      <alignment horizontal="center"/>
    </xf>
    <xf numFmtId="0" fontId="25" fillId="0" borderId="29" xfId="0" applyFont="1" applyBorder="1" applyAlignment="1">
      <alignment horizontal="justify"/>
    </xf>
    <xf numFmtId="0" fontId="15" fillId="0" borderId="0" xfId="0" applyFont="1" applyBorder="1" applyAlignment="1">
      <alignment vertical="center" wrapText="1"/>
    </xf>
    <xf numFmtId="1" fontId="15" fillId="0" borderId="8" xfId="0" applyNumberFormat="1" applyFont="1" applyBorder="1" applyAlignment="1">
      <alignment/>
    </xf>
    <xf numFmtId="1" fontId="2" fillId="0" borderId="43" xfId="0" applyNumberFormat="1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justify" vertical="center"/>
    </xf>
    <xf numFmtId="1" fontId="15" fillId="0" borderId="18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62" xfId="0" applyNumberFormat="1" applyFont="1" applyBorder="1" applyAlignment="1">
      <alignment/>
    </xf>
    <xf numFmtId="1" fontId="15" fillId="0" borderId="25" xfId="0" applyNumberFormat="1" applyFont="1" applyBorder="1" applyAlignment="1">
      <alignment/>
    </xf>
    <xf numFmtId="1" fontId="15" fillId="0" borderId="23" xfId="0" applyNumberFormat="1" applyFont="1" applyBorder="1" applyAlignment="1">
      <alignment/>
    </xf>
    <xf numFmtId="1" fontId="15" fillId="0" borderId="23" xfId="0" applyNumberFormat="1" applyFont="1" applyFill="1" applyBorder="1" applyAlignment="1">
      <alignment/>
    </xf>
    <xf numFmtId="1" fontId="15" fillId="0" borderId="71" xfId="0" applyNumberFormat="1" applyFont="1" applyBorder="1" applyAlignment="1">
      <alignment/>
    </xf>
    <xf numFmtId="1" fontId="15" fillId="0" borderId="28" xfId="0" applyNumberFormat="1" applyFont="1" applyBorder="1" applyAlignment="1">
      <alignment/>
    </xf>
    <xf numFmtId="1" fontId="15" fillId="0" borderId="38" xfId="0" applyNumberFormat="1" applyFont="1" applyBorder="1" applyAlignment="1">
      <alignment/>
    </xf>
    <xf numFmtId="1" fontId="15" fillId="0" borderId="31" xfId="0" applyNumberFormat="1" applyFont="1" applyBorder="1" applyAlignment="1">
      <alignment/>
    </xf>
    <xf numFmtId="1" fontId="15" fillId="0" borderId="38" xfId="0" applyNumberFormat="1" applyFont="1" applyFill="1" applyBorder="1" applyAlignment="1">
      <alignment/>
    </xf>
    <xf numFmtId="1" fontId="15" fillId="0" borderId="31" xfId="0" applyNumberFormat="1" applyFont="1" applyFill="1" applyBorder="1" applyAlignment="1">
      <alignment/>
    </xf>
    <xf numFmtId="1" fontId="15" fillId="0" borderId="53" xfId="0" applyNumberFormat="1" applyFont="1" applyFill="1" applyBorder="1" applyAlignment="1">
      <alignment vertical="center"/>
    </xf>
    <xf numFmtId="1" fontId="15" fillId="0" borderId="41" xfId="0" applyNumberFormat="1" applyFont="1" applyBorder="1" applyAlignment="1">
      <alignment/>
    </xf>
    <xf numFmtId="1" fontId="15" fillId="0" borderId="28" xfId="0" applyNumberFormat="1" applyFont="1" applyFill="1" applyBorder="1" applyAlignment="1">
      <alignment vertical="center"/>
    </xf>
    <xf numFmtId="1" fontId="15" fillId="0" borderId="31" xfId="0" applyNumberFormat="1" applyFont="1" applyFill="1" applyBorder="1" applyAlignment="1">
      <alignment vertical="center"/>
    </xf>
    <xf numFmtId="1" fontId="15" fillId="0" borderId="40" xfId="0" applyNumberFormat="1" applyFont="1" applyBorder="1" applyAlignment="1">
      <alignment/>
    </xf>
    <xf numFmtId="1" fontId="15" fillId="0" borderId="69" xfId="0" applyNumberFormat="1" applyFont="1" applyFill="1" applyBorder="1" applyAlignment="1">
      <alignment/>
    </xf>
    <xf numFmtId="1" fontId="15" fillId="0" borderId="70" xfId="0" applyNumberFormat="1" applyFont="1" applyFill="1" applyBorder="1" applyAlignment="1">
      <alignment/>
    </xf>
    <xf numFmtId="1" fontId="15" fillId="0" borderId="28" xfId="0" applyNumberFormat="1" applyFont="1" applyFill="1" applyBorder="1" applyAlignment="1">
      <alignment/>
    </xf>
    <xf numFmtId="1" fontId="15" fillId="0" borderId="40" xfId="0" applyNumberFormat="1" applyFont="1" applyFill="1" applyBorder="1" applyAlignment="1">
      <alignment vertical="center"/>
    </xf>
    <xf numFmtId="1" fontId="15" fillId="0" borderId="31" xfId="0" applyNumberFormat="1" applyFont="1" applyFill="1" applyBorder="1" applyAlignment="1">
      <alignment vertical="center" wrapText="1"/>
    </xf>
    <xf numFmtId="1" fontId="15" fillId="0" borderId="40" xfId="0" applyNumberFormat="1" applyFont="1" applyFill="1" applyBorder="1" applyAlignment="1">
      <alignment/>
    </xf>
    <xf numFmtId="1" fontId="15" fillId="0" borderId="47" xfId="0" applyNumberFormat="1" applyFont="1" applyFill="1" applyBorder="1" applyAlignment="1">
      <alignment/>
    </xf>
    <xf numFmtId="0" fontId="15" fillId="0" borderId="53" xfId="0" applyFont="1" applyBorder="1" applyAlignment="1">
      <alignment/>
    </xf>
    <xf numFmtId="1" fontId="15" fillId="0" borderId="53" xfId="0" applyNumberFormat="1" applyFont="1" applyFill="1" applyBorder="1" applyAlignment="1">
      <alignment/>
    </xf>
    <xf numFmtId="1" fontId="15" fillId="0" borderId="38" xfId="0" applyNumberFormat="1" applyFont="1" applyFill="1" applyBorder="1" applyAlignment="1">
      <alignment vertical="center" wrapText="1"/>
    </xf>
    <xf numFmtId="1" fontId="15" fillId="0" borderId="38" xfId="0" applyNumberFormat="1" applyFont="1" applyFill="1" applyBorder="1" applyAlignment="1">
      <alignment vertical="center"/>
    </xf>
    <xf numFmtId="1" fontId="15" fillId="0" borderId="53" xfId="0" applyNumberFormat="1" applyFont="1" applyBorder="1" applyAlignment="1">
      <alignment/>
    </xf>
    <xf numFmtId="1" fontId="15" fillId="0" borderId="60" xfId="0" applyNumberFormat="1" applyFont="1" applyBorder="1" applyAlignment="1">
      <alignment/>
    </xf>
    <xf numFmtId="1" fontId="15" fillId="0" borderId="70" xfId="0" applyNumberFormat="1" applyFont="1" applyFill="1" applyBorder="1" applyAlignment="1">
      <alignment vertical="center"/>
    </xf>
    <xf numFmtId="1" fontId="15" fillId="0" borderId="73" xfId="0" applyNumberFormat="1" applyFont="1" applyFill="1" applyBorder="1" applyAlignment="1">
      <alignment vertical="center"/>
    </xf>
    <xf numFmtId="1" fontId="15" fillId="0" borderId="70" xfId="0" applyNumberFormat="1" applyFont="1" applyFill="1" applyBorder="1" applyAlignment="1">
      <alignment/>
    </xf>
    <xf numFmtId="0" fontId="15" fillId="0" borderId="56" xfId="0" applyFont="1" applyFill="1" applyBorder="1" applyAlignment="1">
      <alignment/>
    </xf>
    <xf numFmtId="1" fontId="15" fillId="0" borderId="43" xfId="0" applyNumberFormat="1" applyFont="1" applyBorder="1" applyAlignment="1">
      <alignment/>
    </xf>
    <xf numFmtId="1" fontId="15" fillId="0" borderId="61" xfId="0" applyNumberFormat="1" applyFont="1" applyBorder="1" applyAlignment="1">
      <alignment/>
    </xf>
    <xf numFmtId="1" fontId="15" fillId="0" borderId="61" xfId="0" applyNumberFormat="1" applyFont="1" applyFill="1" applyBorder="1" applyAlignment="1">
      <alignment/>
    </xf>
    <xf numFmtId="1" fontId="15" fillId="0" borderId="43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right"/>
    </xf>
    <xf numFmtId="1" fontId="15" fillId="0" borderId="3" xfId="0" applyNumberFormat="1" applyFont="1" applyBorder="1" applyAlignment="1">
      <alignment horizontal="right"/>
    </xf>
    <xf numFmtId="1" fontId="15" fillId="0" borderId="11" xfId="0" applyNumberFormat="1" applyFont="1" applyBorder="1" applyAlignment="1">
      <alignment horizontal="right"/>
    </xf>
    <xf numFmtId="1" fontId="15" fillId="0" borderId="12" xfId="0" applyNumberFormat="1" applyFont="1" applyBorder="1" applyAlignment="1">
      <alignment horizontal="right"/>
    </xf>
    <xf numFmtId="1" fontId="15" fillId="0" borderId="11" xfId="0" applyNumberFormat="1" applyFont="1" applyFill="1" applyBorder="1" applyAlignment="1">
      <alignment horizontal="right"/>
    </xf>
    <xf numFmtId="1" fontId="15" fillId="0" borderId="12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6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right"/>
    </xf>
    <xf numFmtId="1" fontId="15" fillId="0" borderId="62" xfId="0" applyNumberFormat="1" applyFont="1" applyBorder="1" applyAlignment="1">
      <alignment horizontal="right"/>
    </xf>
    <xf numFmtId="1" fontId="15" fillId="0" borderId="41" xfId="0" applyNumberFormat="1" applyFont="1" applyBorder="1" applyAlignment="1">
      <alignment horizontal="right"/>
    </xf>
    <xf numFmtId="0" fontId="15" fillId="0" borderId="37" xfId="0" applyFont="1" applyFill="1" applyBorder="1" applyAlignment="1">
      <alignment horizontal="right"/>
    </xf>
    <xf numFmtId="1" fontId="15" fillId="0" borderId="18" xfId="0" applyNumberFormat="1" applyFont="1" applyBorder="1" applyAlignment="1">
      <alignment horizontal="right"/>
    </xf>
    <xf numFmtId="1" fontId="15" fillId="0" borderId="31" xfId="0" applyNumberFormat="1" applyFont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1" fontId="15" fillId="0" borderId="25" xfId="0" applyNumberFormat="1" applyFont="1" applyBorder="1" applyAlignment="1">
      <alignment horizontal="right"/>
    </xf>
    <xf numFmtId="1" fontId="15" fillId="0" borderId="28" xfId="0" applyNumberFormat="1" applyFont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1" fontId="15" fillId="0" borderId="19" xfId="0" applyNumberFormat="1" applyFont="1" applyFill="1" applyBorder="1" applyAlignment="1">
      <alignment horizontal="right" vertical="center"/>
    </xf>
    <xf numFmtId="1" fontId="15" fillId="0" borderId="28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25" xfId="0" applyNumberFormat="1" applyFont="1" applyFill="1" applyBorder="1" applyAlignment="1">
      <alignment horizontal="right" vertical="center"/>
    </xf>
    <xf numFmtId="1" fontId="15" fillId="0" borderId="18" xfId="0" applyNumberFormat="1" applyFont="1" applyFill="1" applyBorder="1" applyAlignment="1">
      <alignment horizontal="right" vertical="center"/>
    </xf>
    <xf numFmtId="1" fontId="15" fillId="0" borderId="31" xfId="0" applyNumberFormat="1" applyFont="1" applyFill="1" applyBorder="1" applyAlignment="1">
      <alignment horizontal="right" vertical="center"/>
    </xf>
    <xf numFmtId="1" fontId="15" fillId="0" borderId="17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right" vertical="center" wrapText="1"/>
    </xf>
    <xf numFmtId="1" fontId="15" fillId="0" borderId="6" xfId="0" applyNumberFormat="1" applyFont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0" borderId="19" xfId="0" applyFont="1" applyBorder="1" applyAlignment="1">
      <alignment horizontal="left" vertical="center"/>
    </xf>
    <xf numFmtId="1" fontId="15" fillId="0" borderId="54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1" fontId="15" fillId="0" borderId="42" xfId="0" applyNumberFormat="1" applyFont="1" applyFill="1" applyBorder="1" applyAlignment="1">
      <alignment/>
    </xf>
    <xf numFmtId="1" fontId="15" fillId="0" borderId="4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3" fontId="30" fillId="0" borderId="55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55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1" fontId="15" fillId="0" borderId="4" xfId="0" applyNumberFormat="1" applyFont="1" applyBorder="1" applyAlignment="1">
      <alignment horizontal="right"/>
    </xf>
    <xf numFmtId="1" fontId="2" fillId="0" borderId="61" xfId="0" applyNumberFormat="1" applyFont="1" applyBorder="1" applyAlignment="1">
      <alignment horizontal="left" vertical="center" wrapText="1"/>
    </xf>
    <xf numFmtId="3" fontId="15" fillId="0" borderId="4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29" fillId="4" borderId="14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left" vertical="center"/>
    </xf>
    <xf numFmtId="49" fontId="29" fillId="4" borderId="14" xfId="0" applyNumberFormat="1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vertical="center"/>
    </xf>
    <xf numFmtId="3" fontId="29" fillId="4" borderId="14" xfId="0" applyNumberFormat="1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left" vertical="center"/>
    </xf>
    <xf numFmtId="0" fontId="29" fillId="4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top" wrapText="1"/>
    </xf>
    <xf numFmtId="1" fontId="2" fillId="0" borderId="54" xfId="0" applyNumberFormat="1" applyFont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vertical="center" wrapText="1"/>
    </xf>
    <xf numFmtId="3" fontId="15" fillId="4" borderId="2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justify"/>
    </xf>
    <xf numFmtId="3" fontId="41" fillId="0" borderId="0" xfId="0" applyNumberFormat="1" applyFont="1" applyFill="1" applyAlignment="1">
      <alignment vertical="center" wrapText="1"/>
    </xf>
    <xf numFmtId="3" fontId="51" fillId="6" borderId="59" xfId="0" applyNumberFormat="1" applyFont="1" applyFill="1" applyBorder="1" applyAlignment="1">
      <alignment vertical="center" wrapText="1"/>
    </xf>
    <xf numFmtId="3" fontId="51" fillId="0" borderId="66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53" xfId="0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right"/>
    </xf>
    <xf numFmtId="1" fontId="15" fillId="0" borderId="43" xfId="0" applyNumberFormat="1" applyFont="1" applyFill="1" applyBorder="1" applyAlignment="1">
      <alignment/>
    </xf>
    <xf numFmtId="0" fontId="15" fillId="0" borderId="23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 wrapText="1"/>
    </xf>
    <xf numFmtId="1" fontId="15" fillId="0" borderId="23" xfId="0" applyNumberFormat="1" applyFont="1" applyFill="1" applyBorder="1" applyAlignment="1">
      <alignment horizontal="right" vertical="center"/>
    </xf>
    <xf numFmtId="1" fontId="15" fillId="0" borderId="40" xfId="0" applyNumberFormat="1" applyFont="1" applyFill="1" applyBorder="1" applyAlignment="1">
      <alignment horizontal="right" vertical="center"/>
    </xf>
    <xf numFmtId="1" fontId="15" fillId="0" borderId="20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15" fillId="0" borderId="11" xfId="0" applyFont="1" applyFill="1" applyBorder="1" applyAlignment="1">
      <alignment horizontal="right"/>
    </xf>
    <xf numFmtId="0" fontId="15" fillId="0" borderId="23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11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49" fontId="15" fillId="0" borderId="73" xfId="0" applyNumberFormat="1" applyFont="1" applyBorder="1" applyAlignment="1">
      <alignment horizontal="center" vertical="center"/>
    </xf>
    <xf numFmtId="49" fontId="15" fillId="0" borderId="70" xfId="0" applyNumberFormat="1" applyFont="1" applyBorder="1" applyAlignment="1">
      <alignment horizontal="center" vertical="center"/>
    </xf>
    <xf numFmtId="49" fontId="15" fillId="0" borderId="70" xfId="0" applyNumberFormat="1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right" vertical="center" wrapText="1"/>
    </xf>
    <xf numFmtId="1" fontId="15" fillId="0" borderId="48" xfId="0" applyNumberFormat="1" applyFont="1" applyBorder="1" applyAlignment="1">
      <alignment/>
    </xf>
    <xf numFmtId="1" fontId="15" fillId="0" borderId="63" xfId="0" applyNumberFormat="1" applyFont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1" fontId="33" fillId="0" borderId="26" xfId="0" applyNumberFormat="1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1" fontId="33" fillId="0" borderId="49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/>
    </xf>
    <xf numFmtId="1" fontId="15" fillId="0" borderId="37" xfId="0" applyNumberFormat="1" applyFont="1" applyFill="1" applyBorder="1" applyAlignment="1">
      <alignment/>
    </xf>
    <xf numFmtId="1" fontId="15" fillId="0" borderId="34" xfId="0" applyNumberFormat="1" applyFont="1" applyFill="1" applyBorder="1" applyAlignment="1">
      <alignment/>
    </xf>
    <xf numFmtId="0" fontId="15" fillId="0" borderId="53" xfId="0" applyFont="1" applyFill="1" applyBorder="1" applyAlignment="1">
      <alignment/>
    </xf>
    <xf numFmtId="1" fontId="2" fillId="0" borderId="29" xfId="0" applyNumberFormat="1" applyFont="1" applyFill="1" applyBorder="1" applyAlignment="1">
      <alignment wrapText="1"/>
    </xf>
    <xf numFmtId="0" fontId="0" fillId="0" borderId="70" xfId="0" applyFont="1" applyFill="1" applyBorder="1" applyAlignment="1">
      <alignment/>
    </xf>
    <xf numFmtId="0" fontId="44" fillId="0" borderId="0" xfId="0" applyFont="1" applyBorder="1" applyAlignment="1">
      <alignment/>
    </xf>
    <xf numFmtId="1" fontId="2" fillId="0" borderId="44" xfId="0" applyNumberFormat="1" applyFont="1" applyFill="1" applyBorder="1" applyAlignment="1">
      <alignment wrapText="1"/>
    </xf>
    <xf numFmtId="0" fontId="15" fillId="0" borderId="69" xfId="0" applyFont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1" fontId="34" fillId="0" borderId="8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45" xfId="0" applyFont="1" applyBorder="1" applyAlignment="1">
      <alignment vertical="center"/>
    </xf>
    <xf numFmtId="0" fontId="2" fillId="0" borderId="32" xfId="0" applyFont="1" applyFill="1" applyBorder="1" applyAlignment="1">
      <alignment/>
    </xf>
    <xf numFmtId="1" fontId="2" fillId="0" borderId="29" xfId="0" applyNumberFormat="1" applyFont="1" applyFill="1" applyBorder="1" applyAlignment="1">
      <alignment horizontal="left" vertical="center"/>
    </xf>
    <xf numFmtId="1" fontId="2" fillId="0" borderId="36" xfId="0" applyNumberFormat="1" applyFont="1" applyFill="1" applyBorder="1" applyAlignment="1">
      <alignment horizontal="left" vertical="center"/>
    </xf>
    <xf numFmtId="0" fontId="15" fillId="0" borderId="38" xfId="0" applyFont="1" applyBorder="1" applyAlignment="1">
      <alignment vertical="center" wrapText="1"/>
    </xf>
    <xf numFmtId="1" fontId="2" fillId="0" borderId="36" xfId="0" applyNumberFormat="1" applyFont="1" applyBorder="1" applyAlignment="1">
      <alignment horizontal="left" vertical="center" wrapText="1"/>
    </xf>
    <xf numFmtId="0" fontId="15" fillId="0" borderId="73" xfId="0" applyFont="1" applyBorder="1" applyAlignment="1">
      <alignment/>
    </xf>
    <xf numFmtId="0" fontId="0" fillId="0" borderId="45" xfId="0" applyFont="1" applyBorder="1" applyAlignment="1">
      <alignment/>
    </xf>
    <xf numFmtId="0" fontId="34" fillId="0" borderId="8" xfId="0" applyFont="1" applyFill="1" applyBorder="1" applyAlignment="1">
      <alignment/>
    </xf>
    <xf numFmtId="1" fontId="2" fillId="0" borderId="32" xfId="0" applyNumberFormat="1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/>
    </xf>
    <xf numFmtId="1" fontId="15" fillId="0" borderId="68" xfId="0" applyNumberFormat="1" applyFont="1" applyFill="1" applyBorder="1" applyAlignment="1">
      <alignment vertical="center" wrapText="1"/>
    </xf>
    <xf numFmtId="1" fontId="2" fillId="0" borderId="36" xfId="0" applyNumberFormat="1" applyFont="1" applyFill="1" applyBorder="1" applyAlignment="1">
      <alignment vertical="center" wrapText="1"/>
    </xf>
    <xf numFmtId="0" fontId="15" fillId="0" borderId="18" xfId="0" applyFont="1" applyBorder="1" applyAlignment="1">
      <alignment horizontal="right" vertical="center"/>
    </xf>
    <xf numFmtId="1" fontId="2" fillId="0" borderId="2" xfId="0" applyNumberFormat="1" applyFont="1" applyBorder="1" applyAlignment="1">
      <alignment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2" fontId="15" fillId="0" borderId="4" xfId="0" applyNumberFormat="1" applyFont="1" applyFill="1" applyBorder="1" applyAlignment="1">
      <alignment vertical="center" wrapText="1"/>
    </xf>
    <xf numFmtId="3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15" fillId="0" borderId="14" xfId="0" applyFont="1" applyFill="1" applyBorder="1" applyAlignment="1">
      <alignment vertical="top" wrapText="1"/>
    </xf>
    <xf numFmtId="3" fontId="21" fillId="0" borderId="44" xfId="0" applyNumberFormat="1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/>
    </xf>
    <xf numFmtId="0" fontId="31" fillId="0" borderId="53" xfId="0" applyFont="1" applyFill="1" applyBorder="1" applyAlignment="1">
      <alignment/>
    </xf>
    <xf numFmtId="3" fontId="53" fillId="0" borderId="29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0" fontId="15" fillId="0" borderId="39" xfId="0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0" fontId="15" fillId="0" borderId="28" xfId="0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 horizontal="justify" vertical="center"/>
    </xf>
    <xf numFmtId="1" fontId="15" fillId="0" borderId="18" xfId="0" applyNumberFormat="1" applyFont="1" applyBorder="1" applyAlignment="1">
      <alignment vertical="center"/>
    </xf>
    <xf numFmtId="1" fontId="15" fillId="0" borderId="31" xfId="0" applyNumberFormat="1" applyFont="1" applyBorder="1" applyAlignment="1">
      <alignment vertical="center"/>
    </xf>
    <xf numFmtId="1" fontId="15" fillId="0" borderId="17" xfId="0" applyNumberFormat="1" applyFont="1" applyBorder="1" applyAlignment="1">
      <alignment/>
    </xf>
    <xf numFmtId="1" fontId="31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5" fillId="0" borderId="32" xfId="0" applyFont="1" applyFill="1" applyBorder="1" applyAlignment="1">
      <alignment horizontal="justify" vertical="center" wrapText="1"/>
    </xf>
    <xf numFmtId="0" fontId="15" fillId="0" borderId="22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1" fontId="21" fillId="0" borderId="0" xfId="0" applyNumberFormat="1" applyFont="1" applyFill="1" applyBorder="1" applyAlignment="1">
      <alignment/>
    </xf>
    <xf numFmtId="1" fontId="15" fillId="0" borderId="54" xfId="0" applyNumberFormat="1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1" fontId="24" fillId="0" borderId="32" xfId="0" applyNumberFormat="1" applyFont="1" applyFill="1" applyBorder="1" applyAlignment="1">
      <alignment/>
    </xf>
    <xf numFmtId="0" fontId="15" fillId="0" borderId="74" xfId="0" applyFont="1" applyBorder="1" applyAlignment="1">
      <alignment/>
    </xf>
    <xf numFmtId="164" fontId="15" fillId="0" borderId="23" xfId="0" applyNumberFormat="1" applyFont="1" applyBorder="1" applyAlignment="1">
      <alignment/>
    </xf>
    <xf numFmtId="164" fontId="33" fillId="0" borderId="27" xfId="0" applyNumberFormat="1" applyFont="1" applyBorder="1" applyAlignment="1">
      <alignment/>
    </xf>
    <xf numFmtId="0" fontId="15" fillId="0" borderId="35" xfId="0" applyFont="1" applyBorder="1" applyAlignment="1">
      <alignment/>
    </xf>
    <xf numFmtId="0" fontId="33" fillId="0" borderId="35" xfId="0" applyFont="1" applyBorder="1" applyAlignment="1">
      <alignment/>
    </xf>
    <xf numFmtId="0" fontId="35" fillId="0" borderId="6" xfId="0" applyFont="1" applyBorder="1" applyAlignment="1">
      <alignment/>
    </xf>
    <xf numFmtId="164" fontId="33" fillId="0" borderId="6" xfId="0" applyNumberFormat="1" applyFont="1" applyBorder="1" applyAlignment="1">
      <alignment/>
    </xf>
    <xf numFmtId="0" fontId="33" fillId="0" borderId="8" xfId="0" applyFont="1" applyBorder="1" applyAlignment="1">
      <alignment/>
    </xf>
    <xf numFmtId="0" fontId="24" fillId="0" borderId="35" xfId="0" applyFont="1" applyBorder="1" applyAlignment="1">
      <alignment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1" fontId="33" fillId="0" borderId="0" xfId="0" applyNumberFormat="1" applyFont="1" applyFill="1" applyBorder="1" applyAlignment="1">
      <alignment horizontal="justify" vertical="center"/>
    </xf>
    <xf numFmtId="1" fontId="15" fillId="0" borderId="0" xfId="0" applyNumberFormat="1" applyFont="1" applyBorder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1" fontId="18" fillId="0" borderId="0" xfId="0" applyNumberFormat="1" applyFont="1" applyBorder="1" applyAlignment="1">
      <alignment horizontal="justify" vertical="center"/>
    </xf>
    <xf numFmtId="1" fontId="7" fillId="0" borderId="0" xfId="0" applyNumberFormat="1" applyFont="1" applyFill="1" applyBorder="1" applyAlignment="1">
      <alignment horizontal="justify" vertical="center"/>
    </xf>
    <xf numFmtId="0" fontId="27" fillId="0" borderId="29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18" fillId="4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33" xfId="0" applyFont="1" applyFill="1" applyBorder="1" applyAlignment="1">
      <alignment horizontal="justify" vertical="center"/>
    </xf>
    <xf numFmtId="0" fontId="15" fillId="0" borderId="45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1" fontId="15" fillId="0" borderId="29" xfId="0" applyNumberFormat="1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42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justify" vertical="center"/>
    </xf>
    <xf numFmtId="1" fontId="2" fillId="0" borderId="29" xfId="0" applyNumberFormat="1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/>
    </xf>
    <xf numFmtId="1" fontId="33" fillId="0" borderId="35" xfId="0" applyNumberFormat="1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1" fontId="2" fillId="0" borderId="29" xfId="0" applyNumberFormat="1" applyFont="1" applyFill="1" applyBorder="1" applyAlignment="1">
      <alignment horizontal="justify" vertical="center"/>
    </xf>
    <xf numFmtId="0" fontId="2" fillId="0" borderId="29" xfId="0" applyFont="1" applyFill="1" applyBorder="1" applyAlignment="1">
      <alignment horizontal="justify" vertical="center"/>
    </xf>
    <xf numFmtId="0" fontId="2" fillId="0" borderId="50" xfId="0" applyFont="1" applyFill="1" applyBorder="1" applyAlignment="1">
      <alignment horizontal="justify" vertical="center"/>
    </xf>
    <xf numFmtId="1" fontId="15" fillId="0" borderId="29" xfId="0" applyNumberFormat="1" applyFont="1" applyBorder="1" applyAlignment="1">
      <alignment horizontal="justify" vertical="center"/>
    </xf>
    <xf numFmtId="1" fontId="15" fillId="0" borderId="29" xfId="0" applyNumberFormat="1" applyFont="1" applyFill="1" applyBorder="1" applyAlignment="1">
      <alignment horizontal="justify" vertical="center" wrapText="1"/>
    </xf>
    <xf numFmtId="1" fontId="33" fillId="0" borderId="8" xfId="0" applyNumberFormat="1" applyFont="1" applyFill="1" applyBorder="1" applyAlignment="1">
      <alignment horizontal="justify" vertical="center"/>
    </xf>
    <xf numFmtId="0" fontId="15" fillId="0" borderId="44" xfId="0" applyFont="1" applyFill="1" applyBorder="1" applyAlignment="1">
      <alignment horizontal="justify" vertical="center" wrapText="1"/>
    </xf>
    <xf numFmtId="0" fontId="15" fillId="0" borderId="61" xfId="0" applyFont="1" applyFill="1" applyBorder="1" applyAlignment="1">
      <alignment horizontal="justify" vertical="center"/>
    </xf>
    <xf numFmtId="0" fontId="0" fillId="0" borderId="43" xfId="0" applyFont="1" applyFill="1" applyBorder="1" applyAlignment="1">
      <alignment horizontal="justify" vertical="center"/>
    </xf>
    <xf numFmtId="0" fontId="0" fillId="0" borderId="55" xfId="0" applyFont="1" applyFill="1" applyBorder="1" applyAlignment="1">
      <alignment horizontal="justify" vertical="center"/>
    </xf>
    <xf numFmtId="0" fontId="15" fillId="0" borderId="44" xfId="0" applyFont="1" applyFill="1" applyBorder="1" applyAlignment="1">
      <alignment horizontal="justify" vertical="center"/>
    </xf>
    <xf numFmtId="0" fontId="33" fillId="0" borderId="29" xfId="0" applyFont="1" applyFill="1" applyBorder="1" applyAlignment="1">
      <alignment horizontal="justify" vertical="center"/>
    </xf>
    <xf numFmtId="0" fontId="0" fillId="0" borderId="50" xfId="0" applyFont="1" applyBorder="1" applyAlignment="1">
      <alignment horizontal="justify" vertical="center"/>
    </xf>
    <xf numFmtId="1" fontId="15" fillId="0" borderId="32" xfId="0" applyNumberFormat="1" applyFont="1" applyFill="1" applyBorder="1" applyAlignment="1">
      <alignment horizontal="justify" vertical="center"/>
    </xf>
    <xf numFmtId="0" fontId="0" fillId="0" borderId="61" xfId="0" applyFont="1" applyFill="1" applyBorder="1" applyAlignment="1">
      <alignment horizontal="justify" vertical="center"/>
    </xf>
    <xf numFmtId="0" fontId="15" fillId="0" borderId="43" xfId="0" applyFont="1" applyBorder="1" applyAlignment="1">
      <alignment horizontal="justify" vertical="center" wrapText="1"/>
    </xf>
    <xf numFmtId="0" fontId="15" fillId="0" borderId="43" xfId="0" applyFont="1" applyFill="1" applyBorder="1" applyAlignment="1">
      <alignment horizontal="justify" vertical="center"/>
    </xf>
    <xf numFmtId="0" fontId="25" fillId="0" borderId="29" xfId="0" applyFont="1" applyBorder="1" applyAlignment="1">
      <alignment horizontal="justify" vertical="center"/>
    </xf>
    <xf numFmtId="0" fontId="15" fillId="0" borderId="34" xfId="0" applyFont="1" applyBorder="1" applyAlignment="1">
      <alignment horizontal="justify" vertical="center"/>
    </xf>
    <xf numFmtId="0" fontId="27" fillId="0" borderId="42" xfId="0" applyFont="1" applyBorder="1" applyAlignment="1">
      <alignment horizontal="justify" vertical="center"/>
    </xf>
    <xf numFmtId="1" fontId="2" fillId="0" borderId="42" xfId="0" applyNumberFormat="1" applyFont="1" applyBorder="1" applyAlignment="1">
      <alignment horizontal="justify" vertical="center" wrapText="1"/>
    </xf>
    <xf numFmtId="0" fontId="18" fillId="0" borderId="36" xfId="0" applyFont="1" applyFill="1" applyBorder="1" applyAlignment="1">
      <alignment horizontal="justify" vertical="center"/>
    </xf>
    <xf numFmtId="0" fontId="2" fillId="0" borderId="29" xfId="0" applyFont="1" applyFill="1" applyBorder="1" applyAlignment="1">
      <alignment horizontal="justify" vertical="center" wrapText="1"/>
    </xf>
    <xf numFmtId="1" fontId="14" fillId="0" borderId="8" xfId="0" applyNumberFormat="1" applyFont="1" applyFill="1" applyBorder="1" applyAlignment="1">
      <alignment horizontal="justify" vertical="center"/>
    </xf>
    <xf numFmtId="0" fontId="27" fillId="0" borderId="29" xfId="0" applyFont="1" applyBorder="1" applyAlignment="1">
      <alignment horizontal="justify" vertical="center"/>
    </xf>
    <xf numFmtId="0" fontId="18" fillId="4" borderId="29" xfId="0" applyFont="1" applyFill="1" applyBorder="1" applyAlignment="1">
      <alignment horizontal="justify" vertical="center"/>
    </xf>
    <xf numFmtId="0" fontId="17" fillId="0" borderId="29" xfId="0" applyFont="1" applyBorder="1" applyAlignment="1">
      <alignment horizontal="justify" vertical="center"/>
    </xf>
    <xf numFmtId="0" fontId="0" fillId="0" borderId="29" xfId="0" applyFill="1" applyBorder="1" applyAlignment="1">
      <alignment horizontal="justify" vertical="center"/>
    </xf>
    <xf numFmtId="1" fontId="15" fillId="0" borderId="75" xfId="0" applyNumberFormat="1" applyFont="1" applyFill="1" applyBorder="1" applyAlignment="1">
      <alignment horizontal="justify" vertical="center"/>
    </xf>
    <xf numFmtId="0" fontId="0" fillId="0" borderId="61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25" fillId="0" borderId="55" xfId="0" applyFont="1" applyBorder="1" applyAlignment="1">
      <alignment horizontal="justify" vertical="center"/>
    </xf>
    <xf numFmtId="0" fontId="0" fillId="0" borderId="54" xfId="0" applyFill="1" applyBorder="1" applyAlignment="1">
      <alignment horizontal="justify" vertical="center"/>
    </xf>
    <xf numFmtId="0" fontId="0" fillId="0" borderId="55" xfId="0" applyFill="1" applyBorder="1" applyAlignment="1">
      <alignment horizontal="justify" vertical="center"/>
    </xf>
    <xf numFmtId="0" fontId="0" fillId="0" borderId="32" xfId="0" applyFill="1" applyBorder="1" applyAlignment="1">
      <alignment horizontal="justify" vertical="center"/>
    </xf>
    <xf numFmtId="1" fontId="33" fillId="0" borderId="36" xfId="0" applyNumberFormat="1" applyFont="1" applyFill="1" applyBorder="1" applyAlignment="1">
      <alignment horizontal="justify" vertical="center"/>
    </xf>
    <xf numFmtId="0" fontId="0" fillId="0" borderId="29" xfId="0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justify" vertical="center"/>
    </xf>
    <xf numFmtId="1" fontId="21" fillId="0" borderId="8" xfId="0" applyNumberFormat="1" applyFont="1" applyFill="1" applyBorder="1" applyAlignment="1">
      <alignment horizontal="justify" vertical="center"/>
    </xf>
    <xf numFmtId="1" fontId="15" fillId="0" borderId="61" xfId="0" applyNumberFormat="1" applyFont="1" applyFill="1" applyBorder="1" applyAlignment="1">
      <alignment horizontal="justify" vertical="center"/>
    </xf>
    <xf numFmtId="1" fontId="15" fillId="0" borderId="55" xfId="0" applyNumberFormat="1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right"/>
    </xf>
    <xf numFmtId="0" fontId="0" fillId="0" borderId="32" xfId="0" applyFont="1" applyBorder="1" applyAlignment="1">
      <alignment horizontal="justify" vertical="center"/>
    </xf>
    <xf numFmtId="0" fontId="0" fillId="0" borderId="32" xfId="0" applyFont="1" applyFill="1" applyBorder="1" applyAlignment="1">
      <alignment horizontal="justify" vertical="center" wrapText="1"/>
    </xf>
    <xf numFmtId="1" fontId="2" fillId="0" borderId="32" xfId="0" applyNumberFormat="1" applyFont="1" applyBorder="1" applyAlignment="1">
      <alignment horizontal="justify" vertical="center" wrapText="1"/>
    </xf>
    <xf numFmtId="0" fontId="25" fillId="0" borderId="43" xfId="0" applyFont="1" applyBorder="1" applyAlignment="1">
      <alignment horizontal="justify" vertical="center"/>
    </xf>
    <xf numFmtId="1" fontId="2" fillId="0" borderId="16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1" fontId="2" fillId="0" borderId="25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top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justify" wrapText="1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justify" vertical="top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4" xfId="0" applyFont="1" applyBorder="1" applyAlignment="1">
      <alignment horizontal="justify" vertical="top"/>
    </xf>
    <xf numFmtId="0" fontId="3" fillId="0" borderId="58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164" fontId="3" fillId="0" borderId="14" xfId="0" applyNumberFormat="1" applyFont="1" applyBorder="1" applyAlignment="1">
      <alignment horizontal="justify"/>
    </xf>
    <xf numFmtId="0" fontId="3" fillId="0" borderId="14" xfId="0" applyFont="1" applyBorder="1" applyAlignment="1">
      <alignment horizontal="justify" wrapText="1"/>
    </xf>
    <xf numFmtId="1" fontId="3" fillId="0" borderId="14" xfId="0" applyNumberFormat="1" applyFont="1" applyBorder="1" applyAlignment="1">
      <alignment horizontal="justify"/>
    </xf>
    <xf numFmtId="0" fontId="3" fillId="0" borderId="46" xfId="0" applyFont="1" applyBorder="1" applyAlignment="1">
      <alignment horizontal="justify" wrapText="1"/>
    </xf>
    <xf numFmtId="164" fontId="3" fillId="0" borderId="4" xfId="0" applyNumberFormat="1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164" fontId="3" fillId="0" borderId="27" xfId="0" applyNumberFormat="1" applyFont="1" applyBorder="1" applyAlignment="1">
      <alignment horizontal="justify"/>
    </xf>
    <xf numFmtId="1" fontId="3" fillId="0" borderId="2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8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5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15" fillId="0" borderId="32" xfId="0" applyFont="1" applyFill="1" applyBorder="1" applyAlignment="1">
      <alignment horizontal="justify" vertical="center" wrapText="1"/>
    </xf>
    <xf numFmtId="1" fontId="15" fillId="0" borderId="54" xfId="0" applyNumberFormat="1" applyFont="1" applyFill="1" applyBorder="1" applyAlignment="1">
      <alignment horizontal="justify" vertical="center"/>
    </xf>
    <xf numFmtId="1" fontId="15" fillId="0" borderId="29" xfId="0" applyNumberFormat="1" applyFont="1" applyFill="1" applyBorder="1" applyAlignment="1">
      <alignment horizontal="justify" vertical="center"/>
    </xf>
    <xf numFmtId="1" fontId="15" fillId="0" borderId="32" xfId="0" applyNumberFormat="1" applyFont="1" applyFill="1" applyBorder="1" applyAlignment="1">
      <alignment horizontal="justify" vertical="center"/>
    </xf>
    <xf numFmtId="1" fontId="15" fillId="0" borderId="54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/>
    </xf>
    <xf numFmtId="1" fontId="15" fillId="0" borderId="56" xfId="0" applyNumberFormat="1" applyFont="1" applyFill="1" applyBorder="1" applyAlignment="1">
      <alignment horizontal="center" vertical="center" wrapText="1"/>
    </xf>
    <xf numFmtId="1" fontId="15" fillId="0" borderId="4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3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left" vertical="center" wrapText="1"/>
    </xf>
    <xf numFmtId="1" fontId="2" fillId="0" borderId="32" xfId="0" applyNumberFormat="1" applyFont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65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justify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53" xfId="0" applyFont="1" applyBorder="1" applyAlignment="1">
      <alignment horizontal="center" wrapText="1"/>
    </xf>
    <xf numFmtId="0" fontId="15" fillId="0" borderId="70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21" fillId="0" borderId="4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42" xfId="0" applyNumberFormat="1" applyFont="1" applyBorder="1" applyAlignment="1">
      <alignment horizontal="left" vertical="center" wrapText="1"/>
    </xf>
    <xf numFmtId="1" fontId="2" fillId="0" borderId="4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justify"/>
    </xf>
    <xf numFmtId="0" fontId="15" fillId="0" borderId="2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2" fillId="0" borderId="29" xfId="0" applyNumberFormat="1" applyFont="1" applyFill="1" applyBorder="1" applyAlignment="1">
      <alignment horizontal="left" vertical="center"/>
    </xf>
    <xf numFmtId="1" fontId="2" fillId="0" borderId="36" xfId="0" applyNumberFormat="1" applyFont="1" applyFill="1" applyBorder="1" applyAlignment="1">
      <alignment horizontal="left" vertical="center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left" vertical="center" wrapText="1"/>
    </xf>
    <xf numFmtId="0" fontId="21" fillId="4" borderId="47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 vertical="center" wrapText="1"/>
    </xf>
    <xf numFmtId="1" fontId="15" fillId="0" borderId="4" xfId="0" applyNumberFormat="1" applyFont="1" applyFill="1" applyBorder="1" applyAlignment="1">
      <alignment horizontal="right" vertical="center" wrapText="1"/>
    </xf>
    <xf numFmtId="1" fontId="15" fillId="0" borderId="3" xfId="0" applyNumberFormat="1" applyFont="1" applyFill="1" applyBorder="1" applyAlignment="1">
      <alignment horizontal="right" vertical="center" wrapText="1"/>
    </xf>
    <xf numFmtId="1" fontId="15" fillId="0" borderId="13" xfId="0" applyNumberFormat="1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15" fillId="0" borderId="45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2" fillId="0" borderId="69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top" wrapText="1"/>
    </xf>
    <xf numFmtId="0" fontId="30" fillId="0" borderId="40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30" fillId="0" borderId="73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30" fillId="0" borderId="73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21" fillId="0" borderId="7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42" xfId="0" applyNumberFormat="1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O51"/>
  <sheetViews>
    <sheetView view="pageBreakPreview" zoomScale="75" zoomScaleSheetLayoutView="75" workbookViewId="0" topLeftCell="A1">
      <selection activeCell="J2" sqref="J2:M2"/>
    </sheetView>
  </sheetViews>
  <sheetFormatPr defaultColWidth="9.00390625" defaultRowHeight="12.75"/>
  <cols>
    <col min="1" max="1" width="3.625" style="4" customWidth="1"/>
    <col min="2" max="2" width="23.625" style="4" customWidth="1"/>
    <col min="3" max="3" width="7.625" style="4" customWidth="1"/>
    <col min="4" max="4" width="8.375" style="4" customWidth="1"/>
    <col min="5" max="5" width="9.625" style="4" customWidth="1"/>
    <col min="6" max="6" width="11.25390625" style="4" customWidth="1"/>
    <col min="7" max="7" width="8.00390625" style="4" customWidth="1"/>
    <col min="8" max="8" width="9.25390625" style="4" customWidth="1"/>
    <col min="9" max="9" width="8.75390625" style="4" bestFit="1" customWidth="1"/>
    <col min="10" max="10" width="6.25390625" style="4" customWidth="1"/>
    <col min="11" max="11" width="9.125" style="4" customWidth="1"/>
    <col min="12" max="12" width="13.125" style="4" customWidth="1"/>
    <col min="13" max="13" width="9.375" style="4" customWidth="1"/>
    <col min="14" max="14" width="23.125" style="3" customWidth="1"/>
    <col min="15" max="16384" width="9.125" style="4" customWidth="1"/>
  </cols>
  <sheetData>
    <row r="1" ht="12.75">
      <c r="L1" s="112" t="s">
        <v>596</v>
      </c>
    </row>
    <row r="2" spans="2:13" ht="36" customHeight="1">
      <c r="B2" s="995"/>
      <c r="C2" s="995"/>
      <c r="D2" s="995"/>
      <c r="E2" s="995"/>
      <c r="F2" s="995"/>
      <c r="G2" s="995"/>
      <c r="H2" s="995"/>
      <c r="I2" s="995"/>
      <c r="J2" s="1867" t="s">
        <v>85</v>
      </c>
      <c r="K2" s="1867"/>
      <c r="L2" s="1867"/>
      <c r="M2" s="1867"/>
    </row>
    <row r="3" spans="1:13" ht="27" customHeight="1">
      <c r="A3" s="1879" t="s">
        <v>843</v>
      </c>
      <c r="B3" s="1879"/>
      <c r="C3" s="1879"/>
      <c r="D3" s="1879"/>
      <c r="E3" s="1879"/>
      <c r="F3" s="1879"/>
      <c r="G3" s="1879"/>
      <c r="H3" s="1879"/>
      <c r="I3" s="1879"/>
      <c r="J3" s="1879"/>
      <c r="K3" s="1879"/>
      <c r="L3" s="1879"/>
      <c r="M3" s="1879"/>
    </row>
    <row r="4" spans="1:13" ht="24" customHeight="1">
      <c r="A4" s="1859" t="s">
        <v>161</v>
      </c>
      <c r="B4" s="1859"/>
      <c r="C4" s="1859"/>
      <c r="D4" s="1859"/>
      <c r="E4" s="1859"/>
      <c r="F4" s="1859"/>
      <c r="G4" s="1859"/>
      <c r="H4" s="1859"/>
      <c r="I4" s="1859"/>
      <c r="J4" s="1859"/>
      <c r="K4" s="1859"/>
      <c r="L4" s="1859"/>
      <c r="M4" s="1859"/>
    </row>
    <row r="5" spans="2:14" s="6" customFormat="1" ht="20.25" customHeight="1">
      <c r="B5" s="1859" t="s">
        <v>1394</v>
      </c>
      <c r="C5" s="1859"/>
      <c r="D5" s="1859"/>
      <c r="E5" s="1859"/>
      <c r="F5" s="1859"/>
      <c r="G5" s="1859"/>
      <c r="H5" s="1859"/>
      <c r="I5" s="1859"/>
      <c r="J5" s="1859"/>
      <c r="K5" s="1859"/>
      <c r="L5" s="20"/>
      <c r="M5" s="20"/>
      <c r="N5" s="282"/>
    </row>
    <row r="6" spans="2:14" s="6" customFormat="1" ht="20.25" customHeight="1" thickBot="1">
      <c r="B6" s="287"/>
      <c r="C6" s="20"/>
      <c r="D6" s="20"/>
      <c r="E6" s="20"/>
      <c r="F6" s="20"/>
      <c r="G6" s="20"/>
      <c r="H6" s="20"/>
      <c r="I6" s="20"/>
      <c r="J6" s="20"/>
      <c r="K6" s="20"/>
      <c r="L6" s="20"/>
      <c r="M6" s="689" t="s">
        <v>1574</v>
      </c>
      <c r="N6" s="282"/>
    </row>
    <row r="7" spans="1:14" s="13" customFormat="1" ht="12.75">
      <c r="A7" s="690"/>
      <c r="B7" s="691"/>
      <c r="C7" s="1872" t="s">
        <v>1034</v>
      </c>
      <c r="D7" s="1873"/>
      <c r="E7" s="1873"/>
      <c r="F7" s="1873"/>
      <c r="G7" s="1874"/>
      <c r="H7" s="1872" t="s">
        <v>1035</v>
      </c>
      <c r="I7" s="1873"/>
      <c r="J7" s="1873"/>
      <c r="K7" s="1874"/>
      <c r="L7" s="1877" t="s">
        <v>265</v>
      </c>
      <c r="M7" s="1869" t="s">
        <v>68</v>
      </c>
      <c r="N7" s="2"/>
    </row>
    <row r="8" spans="1:14" s="13" customFormat="1" ht="12" customHeight="1" thickBot="1">
      <c r="A8" s="1860" t="s">
        <v>316</v>
      </c>
      <c r="B8" s="1865" t="s">
        <v>317</v>
      </c>
      <c r="C8" s="1862" t="s">
        <v>1033</v>
      </c>
      <c r="D8" s="1863"/>
      <c r="E8" s="1863"/>
      <c r="F8" s="1863"/>
      <c r="G8" s="1864"/>
      <c r="H8" s="1875" t="s">
        <v>902</v>
      </c>
      <c r="I8" s="1868"/>
      <c r="J8" s="1868"/>
      <c r="K8" s="1876"/>
      <c r="L8" s="1878"/>
      <c r="M8" s="1870"/>
      <c r="N8" s="2"/>
    </row>
    <row r="9" spans="1:13" s="32" customFormat="1" ht="13.5" customHeight="1" thickBot="1">
      <c r="A9" s="1861"/>
      <c r="B9" s="1866"/>
      <c r="C9" s="333" t="s">
        <v>776</v>
      </c>
      <c r="D9" s="156" t="s">
        <v>777</v>
      </c>
      <c r="E9" s="156" t="s">
        <v>69</v>
      </c>
      <c r="F9" s="160" t="s">
        <v>778</v>
      </c>
      <c r="G9" s="333" t="s">
        <v>467</v>
      </c>
      <c r="H9" s="156" t="s">
        <v>1046</v>
      </c>
      <c r="I9" s="333" t="s">
        <v>1733</v>
      </c>
      <c r="J9" s="156" t="s">
        <v>780</v>
      </c>
      <c r="K9" s="158" t="s">
        <v>778</v>
      </c>
      <c r="L9" s="116" t="s">
        <v>1364</v>
      </c>
      <c r="M9" s="1871"/>
    </row>
    <row r="10" spans="1:14" s="13" customFormat="1" ht="12.75" customHeight="1">
      <c r="A10" s="117"/>
      <c r="B10" s="233" t="s">
        <v>1784</v>
      </c>
      <c r="C10" s="28"/>
      <c r="D10" s="28"/>
      <c r="E10" s="66"/>
      <c r="F10" s="66"/>
      <c r="G10" s="59"/>
      <c r="H10" s="28"/>
      <c r="I10" s="28"/>
      <c r="J10" s="28"/>
      <c r="K10" s="59"/>
      <c r="L10" s="100"/>
      <c r="M10" s="230" t="s">
        <v>318</v>
      </c>
      <c r="N10" s="2"/>
    </row>
    <row r="11" spans="1:14" s="665" customFormat="1" ht="24">
      <c r="A11" s="248">
        <v>1</v>
      </c>
      <c r="B11" s="236" t="s">
        <v>1867</v>
      </c>
      <c r="C11" s="190">
        <v>1</v>
      </c>
      <c r="D11" s="190">
        <v>5</v>
      </c>
      <c r="E11" s="242">
        <v>100</v>
      </c>
      <c r="F11" s="242">
        <f>C11*D11*E11</f>
        <v>500</v>
      </c>
      <c r="G11" s="243">
        <f>F11*0.231</f>
        <v>116</v>
      </c>
      <c r="H11" s="190" t="s">
        <v>1043</v>
      </c>
      <c r="I11" s="190">
        <v>16</v>
      </c>
      <c r="J11" s="190">
        <v>200</v>
      </c>
      <c r="K11" s="236">
        <f>J11*I11</f>
        <v>3200</v>
      </c>
      <c r="L11" s="400">
        <f>SUM(F11:G13,K11:K13)</f>
        <v>6539</v>
      </c>
      <c r="M11" s="334" t="s">
        <v>541</v>
      </c>
      <c r="N11" s="244"/>
    </row>
    <row r="12" spans="1:14" s="665" customFormat="1" ht="12.75" customHeight="1">
      <c r="A12" s="248"/>
      <c r="B12" s="236"/>
      <c r="C12" s="190"/>
      <c r="D12" s="190"/>
      <c r="E12" s="242"/>
      <c r="F12" s="242"/>
      <c r="G12" s="243"/>
      <c r="H12" s="665" t="s">
        <v>1598</v>
      </c>
      <c r="I12" s="665">
        <v>8</v>
      </c>
      <c r="J12" s="190">
        <v>50</v>
      </c>
      <c r="K12" s="236">
        <f>J12*I12</f>
        <v>400</v>
      </c>
      <c r="L12" s="400"/>
      <c r="M12" s="334"/>
      <c r="N12" s="244"/>
    </row>
    <row r="13" spans="1:14" s="21" customFormat="1" ht="13.5" thickBot="1">
      <c r="A13" s="120"/>
      <c r="B13" s="127"/>
      <c r="C13" s="106">
        <v>7</v>
      </c>
      <c r="D13" s="106">
        <v>2</v>
      </c>
      <c r="E13" s="121">
        <v>100</v>
      </c>
      <c r="F13" s="242">
        <f>C13*D13*E13</f>
        <v>1400</v>
      </c>
      <c r="G13" s="243">
        <f>F13*0.231</f>
        <v>323</v>
      </c>
      <c r="H13" s="1136" t="s">
        <v>1045</v>
      </c>
      <c r="I13" s="106">
        <v>30</v>
      </c>
      <c r="J13" s="190">
        <v>20</v>
      </c>
      <c r="K13" s="236">
        <f>J13*I13</f>
        <v>600</v>
      </c>
      <c r="L13" s="400"/>
      <c r="M13" s="285"/>
      <c r="N13" s="40"/>
    </row>
    <row r="14" spans="1:14" s="702" customFormat="1" ht="12.75" customHeight="1" thickBot="1">
      <c r="A14" s="693"/>
      <c r="B14" s="694" t="s">
        <v>1783</v>
      </c>
      <c r="C14" s="695"/>
      <c r="D14" s="696"/>
      <c r="E14" s="697"/>
      <c r="F14" s="697">
        <f>SUM(F11:F13)</f>
        <v>1900</v>
      </c>
      <c r="G14" s="698">
        <f>SUM(G11:G13)</f>
        <v>439</v>
      </c>
      <c r="H14" s="696" t="s">
        <v>318</v>
      </c>
      <c r="I14" s="696" t="s">
        <v>318</v>
      </c>
      <c r="J14" s="697" t="s">
        <v>318</v>
      </c>
      <c r="K14" s="694">
        <f>SUM(K11:K13)</f>
        <v>4200</v>
      </c>
      <c r="L14" s="699">
        <f>SUM(L11:L13)</f>
        <v>6539</v>
      </c>
      <c r="M14" s="700"/>
      <c r="N14" s="701"/>
    </row>
    <row r="15" spans="1:14" s="21" customFormat="1" ht="12.75" customHeight="1">
      <c r="A15" s="120"/>
      <c r="B15" s="197" t="s">
        <v>1786</v>
      </c>
      <c r="C15" s="106"/>
      <c r="D15" s="106"/>
      <c r="E15" s="121"/>
      <c r="F15" s="121" t="s">
        <v>318</v>
      </c>
      <c r="G15" s="124"/>
      <c r="H15" s="106"/>
      <c r="I15" s="106"/>
      <c r="J15" s="106">
        <v>0</v>
      </c>
      <c r="K15" s="127" t="s">
        <v>318</v>
      </c>
      <c r="L15" s="126" t="s">
        <v>318</v>
      </c>
      <c r="M15" s="285"/>
      <c r="N15" s="40"/>
    </row>
    <row r="16" spans="1:14" s="21" customFormat="1" ht="12.75">
      <c r="A16" s="120">
        <v>1</v>
      </c>
      <c r="B16" s="127" t="s">
        <v>598</v>
      </c>
      <c r="C16" s="106">
        <v>1</v>
      </c>
      <c r="D16" s="106">
        <v>12</v>
      </c>
      <c r="E16" s="121">
        <v>100</v>
      </c>
      <c r="F16" s="121">
        <f>C16*D16*E16</f>
        <v>1200</v>
      </c>
      <c r="G16" s="243">
        <f>F16*0.231</f>
        <v>277</v>
      </c>
      <c r="H16" s="106"/>
      <c r="I16" s="106">
        <v>24</v>
      </c>
      <c r="J16" s="106">
        <v>102.5</v>
      </c>
      <c r="K16" s="127">
        <f>I16*J16</f>
        <v>2460</v>
      </c>
      <c r="L16" s="254">
        <f>SUM(F16:F17,K16:K18,G16:G17)</f>
        <v>4816</v>
      </c>
      <c r="M16" s="285" t="s">
        <v>541</v>
      </c>
      <c r="N16" s="40"/>
    </row>
    <row r="17" spans="1:14" s="21" customFormat="1" ht="12.75">
      <c r="A17" s="120"/>
      <c r="B17" s="127" t="s">
        <v>1044</v>
      </c>
      <c r="C17" s="106">
        <v>3</v>
      </c>
      <c r="D17" s="106">
        <v>2</v>
      </c>
      <c r="E17" s="121">
        <v>100</v>
      </c>
      <c r="F17" s="121">
        <f>C17*D17*E17</f>
        <v>600</v>
      </c>
      <c r="G17" s="243">
        <f>F17*0.231</f>
        <v>139</v>
      </c>
      <c r="H17" s="21" t="s">
        <v>1045</v>
      </c>
      <c r="I17" s="106">
        <v>10</v>
      </c>
      <c r="J17" s="106">
        <v>0</v>
      </c>
      <c r="K17" s="127">
        <f>I17*J17</f>
        <v>0</v>
      </c>
      <c r="L17" s="126" t="s">
        <v>318</v>
      </c>
      <c r="M17" s="285"/>
      <c r="N17" s="40"/>
    </row>
    <row r="18" spans="1:14" s="21" customFormat="1" ht="13.5" thickBot="1">
      <c r="A18" s="120"/>
      <c r="B18" s="127"/>
      <c r="C18" s="106"/>
      <c r="D18" s="106"/>
      <c r="E18" s="121"/>
      <c r="F18" s="121"/>
      <c r="G18" s="122"/>
      <c r="H18" s="106" t="s">
        <v>1598</v>
      </c>
      <c r="I18" s="106">
        <v>4</v>
      </c>
      <c r="J18" s="106">
        <v>35</v>
      </c>
      <c r="K18" s="127">
        <f>I18*J18</f>
        <v>140</v>
      </c>
      <c r="L18" s="126"/>
      <c r="M18" s="285"/>
      <c r="N18" s="40"/>
    </row>
    <row r="19" spans="1:14" s="702" customFormat="1" ht="12.75" customHeight="1" thickBot="1">
      <c r="A19" s="693"/>
      <c r="B19" s="694" t="s">
        <v>1783</v>
      </c>
      <c r="C19" s="695"/>
      <c r="D19" s="696"/>
      <c r="E19" s="697"/>
      <c r="F19" s="698">
        <f>SUM(F16:F17)</f>
        <v>1800</v>
      </c>
      <c r="G19" s="698">
        <f>SUM(G16:G17)</f>
        <v>416</v>
      </c>
      <c r="H19" s="696"/>
      <c r="I19" s="696"/>
      <c r="J19" s="697"/>
      <c r="K19" s="694">
        <f>SUM(K16:K18)</f>
        <v>2600</v>
      </c>
      <c r="L19" s="699">
        <f>SUM(L16:L17)</f>
        <v>4816</v>
      </c>
      <c r="M19" s="700"/>
      <c r="N19" s="701"/>
    </row>
    <row r="20" spans="1:14" s="21" customFormat="1" ht="9.75" customHeight="1">
      <c r="A20" s="120"/>
      <c r="B20" s="197" t="s">
        <v>1150</v>
      </c>
      <c r="C20" s="106"/>
      <c r="D20" s="106"/>
      <c r="E20" s="121"/>
      <c r="F20" s="121"/>
      <c r="G20" s="124"/>
      <c r="H20" s="106"/>
      <c r="I20" s="106"/>
      <c r="J20" s="106"/>
      <c r="K20" s="127" t="s">
        <v>318</v>
      </c>
      <c r="L20" s="126" t="s">
        <v>318</v>
      </c>
      <c r="M20" s="285"/>
      <c r="N20" s="40"/>
    </row>
    <row r="21" spans="1:14" s="21" customFormat="1" ht="12.75" customHeight="1">
      <c r="A21" s="248">
        <v>1</v>
      </c>
      <c r="B21" s="1880" t="s">
        <v>1121</v>
      </c>
      <c r="C21" s="106">
        <v>2</v>
      </c>
      <c r="D21" s="106">
        <v>4</v>
      </c>
      <c r="E21" s="121">
        <v>170</v>
      </c>
      <c r="F21" s="242">
        <f>C21*D21*E21</f>
        <v>1360</v>
      </c>
      <c r="G21" s="243">
        <f>F21*0.231</f>
        <v>314</v>
      </c>
      <c r="H21" s="106"/>
      <c r="I21" s="106">
        <v>12</v>
      </c>
      <c r="J21" s="106">
        <v>30</v>
      </c>
      <c r="K21" s="236">
        <f>I21*J21</f>
        <v>360</v>
      </c>
      <c r="L21" s="400">
        <f>SUM(F21:G22,K21:K22)</f>
        <v>5490</v>
      </c>
      <c r="M21" s="334" t="s">
        <v>541</v>
      </c>
      <c r="N21" s="40"/>
    </row>
    <row r="22" spans="1:14" s="665" customFormat="1" ht="13.5" thickBot="1">
      <c r="A22" s="1133"/>
      <c r="B22" s="1881"/>
      <c r="C22" s="190">
        <v>0</v>
      </c>
      <c r="D22" s="190">
        <v>3</v>
      </c>
      <c r="E22" s="242">
        <v>100</v>
      </c>
      <c r="F22" s="242">
        <f>C22*D22*E22</f>
        <v>0</v>
      </c>
      <c r="G22" s="243">
        <f>F22*0.226</f>
        <v>0</v>
      </c>
      <c r="H22" s="190" t="s">
        <v>1045</v>
      </c>
      <c r="I22" s="190">
        <v>216</v>
      </c>
      <c r="J22" s="190">
        <v>16</v>
      </c>
      <c r="K22" s="236">
        <f>I22*J22</f>
        <v>3456</v>
      </c>
      <c r="L22" s="1134"/>
      <c r="M22" s="1135"/>
      <c r="N22" s="244"/>
    </row>
    <row r="23" spans="1:14" s="713" customFormat="1" ht="12.75" customHeight="1" thickBot="1">
      <c r="A23" s="704"/>
      <c r="B23" s="705" t="s">
        <v>1783</v>
      </c>
      <c r="C23" s="706"/>
      <c r="D23" s="707"/>
      <c r="E23" s="708"/>
      <c r="F23" s="709">
        <f>SUM(F21:F22)</f>
        <v>1360</v>
      </c>
      <c r="G23" s="709">
        <f>SUM(G21:G22)</f>
        <v>314</v>
      </c>
      <c r="H23" s="707"/>
      <c r="I23" s="707"/>
      <c r="J23" s="708"/>
      <c r="K23" s="705">
        <f>SUM(K21:K22)</f>
        <v>3816</v>
      </c>
      <c r="L23" s="710">
        <f>SUM(L21:L22)</f>
        <v>5490</v>
      </c>
      <c r="M23" s="711"/>
      <c r="N23" s="712"/>
    </row>
    <row r="24" ht="13.5" thickBot="1"/>
    <row r="25" spans="1:14" s="662" customFormat="1" ht="15.75" customHeight="1" thickBot="1">
      <c r="A25" s="150"/>
      <c r="B25" s="109" t="s">
        <v>485</v>
      </c>
      <c r="C25" s="109"/>
      <c r="D25" s="109"/>
      <c r="E25" s="109"/>
      <c r="F25" s="176">
        <f>SUM(F14,F19,F23)</f>
        <v>5060</v>
      </c>
      <c r="G25" s="176">
        <f>SUM(G14,G19,G23)</f>
        <v>1169</v>
      </c>
      <c r="H25" s="109" t="s">
        <v>318</v>
      </c>
      <c r="I25" s="109" t="s">
        <v>318</v>
      </c>
      <c r="J25" s="109" t="s">
        <v>318</v>
      </c>
      <c r="K25" s="176">
        <f>SUM(K14,K19,K23)</f>
        <v>10616</v>
      </c>
      <c r="L25" s="176">
        <f>SUM(L14,L19,L23)</f>
        <v>16845</v>
      </c>
      <c r="M25" s="312"/>
      <c r="N25" s="810">
        <f>SUM(F25:G25,K25)</f>
        <v>16845</v>
      </c>
    </row>
    <row r="26" spans="1:15" s="12" customFormat="1" ht="18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82"/>
      <c r="O26" s="674"/>
    </row>
    <row r="27" spans="1:13" s="35" customFormat="1" ht="12.75">
      <c r="A27" s="139" t="s">
        <v>67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30" spans="6:11" ht="13.5" thickBot="1">
      <c r="F30" s="1868">
        <v>226</v>
      </c>
      <c r="G30" s="1868"/>
      <c r="K30" s="4">
        <v>290</v>
      </c>
    </row>
    <row r="31" spans="1:14" s="1139" customFormat="1" ht="12.75" customHeight="1" thickBot="1">
      <c r="A31" s="1140"/>
      <c r="B31" s="1141" t="s">
        <v>1448</v>
      </c>
      <c r="C31" s="1142"/>
      <c r="D31" s="1142"/>
      <c r="E31" s="1143"/>
      <c r="F31" s="1143">
        <f aca="true" t="shared" si="0" ref="F31:L31">F14</f>
        <v>1900</v>
      </c>
      <c r="G31" s="1143">
        <f t="shared" si="0"/>
        <v>439</v>
      </c>
      <c r="H31" s="1143" t="str">
        <f t="shared" si="0"/>
        <v> </v>
      </c>
      <c r="I31" s="1143" t="str">
        <f t="shared" si="0"/>
        <v> </v>
      </c>
      <c r="J31" s="1143" t="str">
        <f t="shared" si="0"/>
        <v> </v>
      </c>
      <c r="K31" s="1143">
        <f t="shared" si="0"/>
        <v>4200</v>
      </c>
      <c r="L31" s="1143">
        <f t="shared" si="0"/>
        <v>6539</v>
      </c>
      <c r="M31" s="1145"/>
      <c r="N31" s="1138"/>
    </row>
    <row r="32" spans="1:14" s="1148" customFormat="1" ht="13.5" thickBot="1">
      <c r="A32" s="1146"/>
      <c r="B32" s="1146" t="s">
        <v>1449</v>
      </c>
      <c r="C32" s="1146"/>
      <c r="D32" s="1146"/>
      <c r="E32" s="1146"/>
      <c r="F32" s="1149">
        <f>F19+F23</f>
        <v>3160</v>
      </c>
      <c r="G32" s="1149">
        <f>G19+G23</f>
        <v>730</v>
      </c>
      <c r="H32" s="1149"/>
      <c r="I32" s="1149"/>
      <c r="J32" s="1149"/>
      <c r="K32" s="1149">
        <f>K19+K23</f>
        <v>6416</v>
      </c>
      <c r="L32" s="1149">
        <f>L19+L23</f>
        <v>10306</v>
      </c>
      <c r="M32" s="1146"/>
      <c r="N32" s="1147"/>
    </row>
    <row r="33" spans="1:14" s="662" customFormat="1" ht="15.75" customHeight="1" thickBot="1">
      <c r="A33" s="150"/>
      <c r="B33" s="109" t="s">
        <v>485</v>
      </c>
      <c r="C33" s="109"/>
      <c r="D33" s="109"/>
      <c r="E33" s="109"/>
      <c r="F33" s="176">
        <f>SUM(F31:F32)</f>
        <v>5060</v>
      </c>
      <c r="G33" s="176">
        <f aca="true" t="shared" si="1" ref="G33:L33">SUM(G31:G32)</f>
        <v>1169</v>
      </c>
      <c r="H33" s="176"/>
      <c r="I33" s="176"/>
      <c r="J33" s="176"/>
      <c r="K33" s="176">
        <f t="shared" si="1"/>
        <v>10616</v>
      </c>
      <c r="L33" s="176">
        <f t="shared" si="1"/>
        <v>16845</v>
      </c>
      <c r="M33" s="312"/>
      <c r="N33" s="810">
        <f>SUM(F33:G33,K33)</f>
        <v>16845</v>
      </c>
    </row>
    <row r="34" ht="12.75">
      <c r="F34" s="1237">
        <f>F33+G33</f>
        <v>6229</v>
      </c>
    </row>
    <row r="51" ht="12.75">
      <c r="A51" s="4" t="s">
        <v>913</v>
      </c>
    </row>
  </sheetData>
  <mergeCells count="14">
    <mergeCell ref="J2:M2"/>
    <mergeCell ref="F30:G30"/>
    <mergeCell ref="A4:M4"/>
    <mergeCell ref="M7:M9"/>
    <mergeCell ref="C7:G7"/>
    <mergeCell ref="H7:K7"/>
    <mergeCell ref="H8:K8"/>
    <mergeCell ref="L7:L8"/>
    <mergeCell ref="A3:M3"/>
    <mergeCell ref="B21:B22"/>
    <mergeCell ref="B5:K5"/>
    <mergeCell ref="A8:A9"/>
    <mergeCell ref="C8:G8"/>
    <mergeCell ref="B8:B9"/>
  </mergeCells>
  <printOptions/>
  <pageMargins left="0.7874015748031497" right="0.3937007874015748" top="0.984251968503937" bottom="0.3937007874015748" header="0.7874015748031497" footer="0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2"/>
  <dimension ref="A1:W226"/>
  <sheetViews>
    <sheetView showGridLines="0" showZeros="0" view="pageBreakPreview" zoomScale="90" zoomScaleNormal="75" zoomScaleSheetLayoutView="90" workbookViewId="0" topLeftCell="A1">
      <pane ySplit="5" topLeftCell="BM177" activePane="bottomLeft" state="frozen"/>
      <selection pane="topLeft" activeCell="A28" sqref="A28"/>
      <selection pane="bottomLeft" activeCell="R2" sqref="R2"/>
    </sheetView>
  </sheetViews>
  <sheetFormatPr defaultColWidth="9.00390625" defaultRowHeight="12.75"/>
  <cols>
    <col min="1" max="1" width="5.375" style="1340" customWidth="1"/>
    <col min="2" max="2" width="21.75390625" style="39" customWidth="1"/>
    <col min="3" max="3" width="5.00390625" style="39" customWidth="1"/>
    <col min="4" max="4" width="6.625" style="39" customWidth="1"/>
    <col min="5" max="5" width="6.75390625" style="39" customWidth="1"/>
    <col min="6" max="6" width="7.875" style="39" customWidth="1"/>
    <col min="7" max="7" width="7.25390625" style="39" customWidth="1"/>
    <col min="8" max="8" width="8.00390625" style="39" customWidth="1"/>
    <col min="9" max="9" width="5.125" style="39" customWidth="1"/>
    <col min="10" max="10" width="5.375" style="39" customWidth="1"/>
    <col min="11" max="11" width="5.75390625" style="39" customWidth="1"/>
    <col min="12" max="12" width="7.375" style="39" customWidth="1"/>
    <col min="13" max="13" width="8.75390625" style="39" customWidth="1"/>
    <col min="14" max="14" width="6.875" style="39" customWidth="1"/>
    <col min="15" max="15" width="9.00390625" style="39" customWidth="1"/>
    <col min="16" max="16" width="11.25390625" style="39" customWidth="1"/>
    <col min="17" max="17" width="10.75390625" style="39" hidden="1" customWidth="1"/>
    <col min="18" max="18" width="8.375" style="1700" customWidth="1"/>
    <col min="19" max="19" width="11.75390625" style="1700" customWidth="1"/>
    <col min="20" max="20" width="14.625" style="898" customWidth="1"/>
    <col min="21" max="21" width="9.125" style="39" customWidth="1"/>
    <col min="22" max="22" width="25.75390625" style="39" customWidth="1"/>
    <col min="23" max="23" width="10.875" style="39" customWidth="1"/>
    <col min="24" max="16384" width="9.125" style="39" customWidth="1"/>
  </cols>
  <sheetData>
    <row r="1" spans="1:20" ht="32.25" customHeight="1">
      <c r="A1" s="1625" t="s">
        <v>1126</v>
      </c>
      <c r="B1" s="1899" t="s">
        <v>592</v>
      </c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  <c r="P1" s="1899"/>
      <c r="S1" s="898"/>
      <c r="T1" s="39"/>
    </row>
    <row r="2" spans="1:20" ht="4.5" customHeight="1" thickBot="1">
      <c r="A2" s="1624"/>
      <c r="B2" s="1539"/>
      <c r="R2" s="1683" t="s">
        <v>1680</v>
      </c>
      <c r="S2" s="898"/>
      <c r="T2" s="39"/>
    </row>
    <row r="3" spans="1:20" ht="13.5" thickBot="1">
      <c r="A3" s="1341"/>
      <c r="B3" s="715"/>
      <c r="C3" s="1906" t="s">
        <v>1034</v>
      </c>
      <c r="D3" s="1907"/>
      <c r="E3" s="1907"/>
      <c r="F3" s="1907"/>
      <c r="G3" s="1907"/>
      <c r="H3" s="1848"/>
      <c r="I3" s="1849" t="s">
        <v>1035</v>
      </c>
      <c r="J3" s="1850"/>
      <c r="K3" s="1850"/>
      <c r="L3" s="1851"/>
      <c r="M3" s="717" t="s">
        <v>1037</v>
      </c>
      <c r="N3" s="717" t="s">
        <v>232</v>
      </c>
      <c r="O3" s="717" t="s">
        <v>231</v>
      </c>
      <c r="P3" s="715"/>
      <c r="Q3" s="1380"/>
      <c r="R3" s="1701"/>
      <c r="S3" s="898"/>
      <c r="T3" s="39"/>
    </row>
    <row r="4" spans="1:21" s="185" customFormat="1" ht="13.5" customHeight="1" thickBot="1">
      <c r="A4" s="1852" t="s">
        <v>316</v>
      </c>
      <c r="B4" s="1809" t="s">
        <v>317</v>
      </c>
      <c r="C4" s="1841" t="s">
        <v>901</v>
      </c>
      <c r="D4" s="1842"/>
      <c r="E4" s="1842"/>
      <c r="F4" s="1842"/>
      <c r="G4" s="1842"/>
      <c r="H4" s="813" t="s">
        <v>1094</v>
      </c>
      <c r="I4" s="1842" t="s">
        <v>902</v>
      </c>
      <c r="J4" s="1842"/>
      <c r="K4" s="1842"/>
      <c r="L4" s="1843"/>
      <c r="M4" s="714" t="s">
        <v>1399</v>
      </c>
      <c r="N4" s="714"/>
      <c r="O4" s="714" t="s">
        <v>233</v>
      </c>
      <c r="P4" s="724" t="s">
        <v>265</v>
      </c>
      <c r="Q4" s="745"/>
      <c r="R4" s="1702" t="s">
        <v>68</v>
      </c>
      <c r="S4" s="898"/>
      <c r="T4" s="182"/>
      <c r="U4" s="182"/>
    </row>
    <row r="5" spans="1:21" s="185" customFormat="1" ht="13.5" customHeight="1" thickBot="1">
      <c r="A5" s="1866"/>
      <c r="B5" s="1905"/>
      <c r="C5" s="208" t="s">
        <v>235</v>
      </c>
      <c r="D5" s="181" t="s">
        <v>236</v>
      </c>
      <c r="E5" s="180" t="s">
        <v>237</v>
      </c>
      <c r="F5" s="181" t="s">
        <v>778</v>
      </c>
      <c r="G5" s="180" t="s">
        <v>467</v>
      </c>
      <c r="H5" s="181" t="s">
        <v>1095</v>
      </c>
      <c r="I5" s="180" t="s">
        <v>1611</v>
      </c>
      <c r="J5" s="179" t="s">
        <v>779</v>
      </c>
      <c r="K5" s="177" t="s">
        <v>785</v>
      </c>
      <c r="L5" s="271" t="s">
        <v>778</v>
      </c>
      <c r="M5" s="181"/>
      <c r="N5" s="181" t="s">
        <v>230</v>
      </c>
      <c r="O5" s="181" t="s">
        <v>234</v>
      </c>
      <c r="P5" s="181" t="s">
        <v>1365</v>
      </c>
      <c r="Q5" s="209" t="s">
        <v>70</v>
      </c>
      <c r="R5" s="1703"/>
      <c r="S5" s="898"/>
      <c r="T5" s="182"/>
      <c r="U5" s="182"/>
    </row>
    <row r="6" spans="1:21" ht="12.75">
      <c r="A6" s="1381" t="s">
        <v>318</v>
      </c>
      <c r="B6" s="1370" t="s">
        <v>367</v>
      </c>
      <c r="C6" s="178"/>
      <c r="D6" s="178"/>
      <c r="E6" s="220"/>
      <c r="F6" s="220"/>
      <c r="G6" s="1458"/>
      <c r="H6" s="220"/>
      <c r="I6" s="178"/>
      <c r="J6" s="178"/>
      <c r="K6" s="220"/>
      <c r="L6" s="220"/>
      <c r="M6" s="220"/>
      <c r="N6" s="220"/>
      <c r="O6" s="220"/>
      <c r="P6" s="1463"/>
      <c r="Q6" s="178"/>
      <c r="R6" s="1704"/>
      <c r="S6" s="898" t="s">
        <v>318</v>
      </c>
      <c r="T6" s="139"/>
      <c r="U6" s="139"/>
    </row>
    <row r="7" spans="1:19" s="13" customFormat="1" ht="20.25" customHeight="1">
      <c r="A7" s="1343">
        <v>1</v>
      </c>
      <c r="B7" s="309" t="s">
        <v>1008</v>
      </c>
      <c r="C7" s="28">
        <v>8</v>
      </c>
      <c r="D7" s="28">
        <v>3</v>
      </c>
      <c r="E7" s="66">
        <v>150</v>
      </c>
      <c r="F7" s="70">
        <f>C7*D7*E7</f>
        <v>3600</v>
      </c>
      <c r="G7" s="1459">
        <f>ROUND(F7*0.226,0)</f>
        <v>814</v>
      </c>
      <c r="H7" s="81"/>
      <c r="I7" s="28"/>
      <c r="J7" s="101">
        <v>24</v>
      </c>
      <c r="K7" s="80">
        <v>150</v>
      </c>
      <c r="L7" s="87">
        <f>J7*K7</f>
        <v>3600</v>
      </c>
      <c r="M7" s="28"/>
      <c r="N7" s="87"/>
      <c r="O7" s="87"/>
      <c r="P7" s="1464">
        <f>F7+L7+M7+N7+G7</f>
        <v>8014</v>
      </c>
      <c r="Q7" s="428" t="s">
        <v>541</v>
      </c>
      <c r="R7" s="1705"/>
      <c r="S7" s="1681"/>
    </row>
    <row r="8" spans="1:21" ht="17.25" customHeight="1">
      <c r="A8" s="1357">
        <v>2</v>
      </c>
      <c r="B8" s="203" t="s">
        <v>166</v>
      </c>
      <c r="C8" s="1304">
        <v>9</v>
      </c>
      <c r="D8" s="202">
        <v>5</v>
      </c>
      <c r="E8" s="201">
        <v>170</v>
      </c>
      <c r="F8" s="106">
        <f>C8*D8*E8</f>
        <v>7650</v>
      </c>
      <c r="G8" s="1428">
        <f>ROUND(F8*0.231,0)</f>
        <v>1767</v>
      </c>
      <c r="H8" s="74">
        <v>800</v>
      </c>
      <c r="I8" s="202"/>
      <c r="J8" s="1471">
        <v>50</v>
      </c>
      <c r="K8" s="1558">
        <v>150</v>
      </c>
      <c r="L8" s="1558">
        <f>J8*K8</f>
        <v>7500</v>
      </c>
      <c r="M8" s="201">
        <v>1530</v>
      </c>
      <c r="N8" s="201"/>
      <c r="O8" s="201"/>
      <c r="P8" s="1467">
        <f>SUM(F8:G15,L8:L10,H8:H9,M8)</f>
        <v>48854</v>
      </c>
      <c r="Q8" s="123"/>
      <c r="R8" s="1706" t="s">
        <v>541</v>
      </c>
      <c r="S8" s="898" t="s">
        <v>377</v>
      </c>
      <c r="T8" s="139"/>
      <c r="U8" s="139"/>
    </row>
    <row r="9" spans="1:21" ht="13.5" customHeight="1">
      <c r="A9" s="1357"/>
      <c r="B9" s="127" t="s">
        <v>830</v>
      </c>
      <c r="C9" s="126">
        <v>6</v>
      </c>
      <c r="D9" s="106">
        <v>3</v>
      </c>
      <c r="E9" s="121">
        <v>170</v>
      </c>
      <c r="F9" s="106">
        <f aca="true" t="shared" si="0" ref="F9:F15">C9*D9*E9</f>
        <v>3060</v>
      </c>
      <c r="G9" s="1428">
        <f aca="true" t="shared" si="1" ref="G9:G15">ROUND(F9*0.231,0)</f>
        <v>707</v>
      </c>
      <c r="H9" s="79">
        <v>300</v>
      </c>
      <c r="I9" s="106" t="s">
        <v>1598</v>
      </c>
      <c r="J9" s="256">
        <v>20</v>
      </c>
      <c r="K9" s="1473">
        <v>50</v>
      </c>
      <c r="L9" s="1473">
        <f>J9*K9</f>
        <v>1000</v>
      </c>
      <c r="M9" s="121"/>
      <c r="N9" s="121"/>
      <c r="O9" s="121"/>
      <c r="P9" s="1483"/>
      <c r="Q9" s="123"/>
      <c r="R9" s="1706"/>
      <c r="S9" s="898" t="s">
        <v>836</v>
      </c>
      <c r="T9" s="139"/>
      <c r="U9" s="139"/>
    </row>
    <row r="10" spans="1:21" ht="15.75" customHeight="1">
      <c r="A10" s="1357"/>
      <c r="B10" s="127" t="s">
        <v>1420</v>
      </c>
      <c r="C10" s="126">
        <v>1</v>
      </c>
      <c r="D10" s="256">
        <v>60</v>
      </c>
      <c r="E10" s="121">
        <v>33</v>
      </c>
      <c r="F10" s="106">
        <f>C10*D10*E10</f>
        <v>1980</v>
      </c>
      <c r="G10" s="1428">
        <f t="shared" si="1"/>
        <v>457</v>
      </c>
      <c r="H10" s="79"/>
      <c r="I10" s="106" t="s">
        <v>1613</v>
      </c>
      <c r="J10" s="256">
        <v>3</v>
      </c>
      <c r="K10" s="1473">
        <v>400</v>
      </c>
      <c r="L10" s="1473">
        <f>J10*K10</f>
        <v>1200</v>
      </c>
      <c r="M10" s="121"/>
      <c r="N10" s="106"/>
      <c r="O10" s="127"/>
      <c r="P10" s="1473"/>
      <c r="Q10" s="106"/>
      <c r="R10" s="1707" t="s">
        <v>1029</v>
      </c>
      <c r="S10" s="898" t="s">
        <v>837</v>
      </c>
      <c r="T10" s="139"/>
      <c r="U10" s="139"/>
    </row>
    <row r="11" spans="1:21" ht="12.75">
      <c r="A11" s="1357"/>
      <c r="B11" s="127" t="s">
        <v>831</v>
      </c>
      <c r="C11" s="126">
        <v>3</v>
      </c>
      <c r="D11" s="106">
        <v>42</v>
      </c>
      <c r="E11" s="121">
        <v>90</v>
      </c>
      <c r="F11" s="106">
        <f t="shared" si="0"/>
        <v>11340</v>
      </c>
      <c r="G11" s="1167">
        <f t="shared" si="1"/>
        <v>2620</v>
      </c>
      <c r="H11" s="1428"/>
      <c r="I11" s="126"/>
      <c r="J11" s="256"/>
      <c r="K11" s="1473"/>
      <c r="L11" s="256"/>
      <c r="M11" s="127"/>
      <c r="N11" s="106"/>
      <c r="O11" s="127"/>
      <c r="P11" s="1473"/>
      <c r="Q11" s="106"/>
      <c r="R11" s="1708"/>
      <c r="S11" s="903"/>
      <c r="T11" s="139"/>
      <c r="U11" s="139"/>
    </row>
    <row r="12" spans="1:22" ht="12.75">
      <c r="A12" s="1357"/>
      <c r="B12" s="1170" t="s">
        <v>832</v>
      </c>
      <c r="C12" s="126">
        <v>6</v>
      </c>
      <c r="D12" s="106">
        <v>2</v>
      </c>
      <c r="E12" s="121">
        <v>120</v>
      </c>
      <c r="F12" s="106">
        <f t="shared" si="0"/>
        <v>1440</v>
      </c>
      <c r="G12" s="1428">
        <f t="shared" si="1"/>
        <v>333</v>
      </c>
      <c r="H12" s="79"/>
      <c r="I12" s="106"/>
      <c r="J12" s="256"/>
      <c r="K12" s="1473"/>
      <c r="L12" s="1473"/>
      <c r="M12" s="121"/>
      <c r="N12" s="121"/>
      <c r="O12" s="121"/>
      <c r="P12" s="1473"/>
      <c r="Q12" s="106"/>
      <c r="R12" s="1707"/>
      <c r="S12" s="1682"/>
      <c r="U12" s="139"/>
      <c r="V12" s="139"/>
    </row>
    <row r="13" spans="1:22" ht="12.75">
      <c r="A13" s="1357"/>
      <c r="B13" s="127" t="s">
        <v>833</v>
      </c>
      <c r="C13" s="126">
        <v>3</v>
      </c>
      <c r="D13" s="106">
        <v>2</v>
      </c>
      <c r="E13" s="121">
        <v>120</v>
      </c>
      <c r="F13" s="106">
        <f>C13*D13*E13</f>
        <v>720</v>
      </c>
      <c r="G13" s="1428">
        <f t="shared" si="1"/>
        <v>166</v>
      </c>
      <c r="H13" s="79"/>
      <c r="I13" s="106"/>
      <c r="J13" s="256"/>
      <c r="K13" s="1473"/>
      <c r="L13" s="1473"/>
      <c r="M13" s="121"/>
      <c r="N13" s="121"/>
      <c r="O13" s="121"/>
      <c r="P13" s="1473"/>
      <c r="Q13" s="106"/>
      <c r="R13" s="1707"/>
      <c r="S13" s="1682"/>
      <c r="U13" s="139"/>
      <c r="V13" s="139"/>
    </row>
    <row r="14" spans="1:19" ht="12.75">
      <c r="A14" s="1545"/>
      <c r="B14" s="1170" t="s">
        <v>834</v>
      </c>
      <c r="C14" s="126">
        <v>2</v>
      </c>
      <c r="D14" s="106">
        <v>2</v>
      </c>
      <c r="E14" s="121">
        <v>120</v>
      </c>
      <c r="F14" s="1171">
        <f>C14*D14*E14</f>
        <v>480</v>
      </c>
      <c r="G14" s="1428">
        <f t="shared" si="1"/>
        <v>111</v>
      </c>
      <c r="H14" s="79"/>
      <c r="I14" s="21"/>
      <c r="J14" s="207"/>
      <c r="K14" s="1485"/>
      <c r="L14" s="1486"/>
      <c r="M14" s="1170"/>
      <c r="N14" s="1170"/>
      <c r="O14" s="1170"/>
      <c r="P14" s="1486"/>
      <c r="Q14" s="21"/>
      <c r="R14" s="1709"/>
      <c r="S14" s="1683"/>
    </row>
    <row r="15" spans="1:22" ht="12.75">
      <c r="A15" s="1357"/>
      <c r="B15" s="98" t="s">
        <v>835</v>
      </c>
      <c r="C15" s="199">
        <v>5</v>
      </c>
      <c r="D15" s="97">
        <v>5</v>
      </c>
      <c r="E15" s="105">
        <v>120</v>
      </c>
      <c r="F15" s="106">
        <f t="shared" si="0"/>
        <v>3000</v>
      </c>
      <c r="G15" s="1428">
        <f t="shared" si="1"/>
        <v>693</v>
      </c>
      <c r="H15" s="71"/>
      <c r="I15" s="97"/>
      <c r="J15" s="1175"/>
      <c r="K15" s="871"/>
      <c r="L15" s="871"/>
      <c r="M15" s="105"/>
      <c r="N15" s="105"/>
      <c r="O15" s="105"/>
      <c r="P15" s="871"/>
      <c r="Q15" s="106"/>
      <c r="R15" s="1707"/>
      <c r="S15" s="1682"/>
      <c r="U15" s="139"/>
      <c r="V15" s="139"/>
    </row>
    <row r="16" spans="1:19" s="4" customFormat="1" ht="24" customHeight="1">
      <c r="A16" s="1006">
        <v>3</v>
      </c>
      <c r="B16" s="410" t="s">
        <v>1925</v>
      </c>
      <c r="C16" s="76">
        <v>1</v>
      </c>
      <c r="D16" s="76">
        <v>3</v>
      </c>
      <c r="E16" s="56">
        <v>180</v>
      </c>
      <c r="F16" s="56">
        <f>C38*D38*E38</f>
        <v>165</v>
      </c>
      <c r="G16" s="77">
        <f>ROUND(F38*0.231,0)</f>
        <v>38</v>
      </c>
      <c r="H16" s="84"/>
      <c r="I16" s="76"/>
      <c r="J16" s="1504">
        <v>1</v>
      </c>
      <c r="K16" s="78">
        <v>150</v>
      </c>
      <c r="L16" s="78">
        <f>J38*K38</f>
        <v>0</v>
      </c>
      <c r="M16" s="56"/>
      <c r="N16" s="78"/>
      <c r="O16" s="78"/>
      <c r="P16" s="1546">
        <f>F16+L16+M16+N16+G16</f>
        <v>203</v>
      </c>
      <c r="Q16" s="426"/>
      <c r="R16" s="1710"/>
      <c r="S16" s="1681"/>
    </row>
    <row r="17" spans="1:19" s="453" customFormat="1" ht="20.25" customHeight="1">
      <c r="A17" s="1561">
        <v>4</v>
      </c>
      <c r="B17" s="417" t="s">
        <v>1922</v>
      </c>
      <c r="C17" s="67">
        <v>35</v>
      </c>
      <c r="D17" s="67">
        <v>7</v>
      </c>
      <c r="E17" s="57">
        <v>150</v>
      </c>
      <c r="F17" s="67">
        <f aca="true" t="shared" si="2" ref="F17:F25">C17*D17*E17</f>
        <v>36750</v>
      </c>
      <c r="G17" s="1460">
        <f>ROUND(F17*0.228,0)</f>
        <v>8379</v>
      </c>
      <c r="H17" s="83"/>
      <c r="I17" s="67"/>
      <c r="J17" s="1469">
        <v>15</v>
      </c>
      <c r="K17" s="1469">
        <v>150</v>
      </c>
      <c r="L17" s="88">
        <f>J17*K17</f>
        <v>2250</v>
      </c>
      <c r="M17" s="57"/>
      <c r="N17" s="82">
        <v>0</v>
      </c>
      <c r="O17" s="82"/>
      <c r="P17" s="1465">
        <f>F17+L17+M17+N17+G17+G18+L18+F18</f>
        <v>75417</v>
      </c>
      <c r="Q17" s="428"/>
      <c r="R17" s="1710"/>
      <c r="S17" s="1684" t="s">
        <v>387</v>
      </c>
    </row>
    <row r="18" spans="1:19" s="4" customFormat="1" ht="15" customHeight="1" thickBot="1">
      <c r="A18" s="1359"/>
      <c r="B18" s="410" t="s">
        <v>1440</v>
      </c>
      <c r="C18" s="69">
        <v>30</v>
      </c>
      <c r="D18" s="69">
        <v>7</v>
      </c>
      <c r="E18" s="58">
        <v>100</v>
      </c>
      <c r="F18" s="69">
        <f t="shared" si="2"/>
        <v>21000</v>
      </c>
      <c r="G18" s="1459">
        <f>ROUND(F18*0.228,0)</f>
        <v>4788</v>
      </c>
      <c r="H18" s="84"/>
      <c r="I18" s="69"/>
      <c r="J18" s="1470">
        <v>15</v>
      </c>
      <c r="K18" s="1470">
        <v>150</v>
      </c>
      <c r="L18" s="72">
        <f>J18*K18</f>
        <v>2250</v>
      </c>
      <c r="M18" s="58"/>
      <c r="N18" s="75"/>
      <c r="O18" s="75"/>
      <c r="P18" s="1466"/>
      <c r="Q18" s="1402"/>
      <c r="R18" s="1710"/>
      <c r="S18" s="1681"/>
    </row>
    <row r="19" spans="1:19" s="4" customFormat="1" ht="21.75" customHeight="1">
      <c r="A19" s="1561">
        <v>5</v>
      </c>
      <c r="B19" s="417" t="s">
        <v>1826</v>
      </c>
      <c r="C19" s="67">
        <v>6</v>
      </c>
      <c r="D19" s="67">
        <v>33</v>
      </c>
      <c r="E19" s="57">
        <v>120</v>
      </c>
      <c r="F19" s="67">
        <f t="shared" si="2"/>
        <v>23760</v>
      </c>
      <c r="G19" s="1460">
        <f>ROUND(F19*0.228,0)</f>
        <v>5417</v>
      </c>
      <c r="H19" s="83"/>
      <c r="I19" s="67"/>
      <c r="J19" s="1469">
        <v>12</v>
      </c>
      <c r="K19" s="82">
        <v>250</v>
      </c>
      <c r="L19" s="82">
        <f>J19*K19</f>
        <v>3000</v>
      </c>
      <c r="M19" s="57">
        <v>56000</v>
      </c>
      <c r="N19" s="82"/>
      <c r="O19" s="82"/>
      <c r="P19" s="1520">
        <f>SUM(F19:G19,L19:M19)</f>
        <v>88177</v>
      </c>
      <c r="Q19" s="423"/>
      <c r="R19" s="1710"/>
      <c r="S19" s="1680" t="s">
        <v>219</v>
      </c>
    </row>
    <row r="20" spans="1:19" s="161" customFormat="1" ht="13.5" customHeight="1">
      <c r="A20" s="1570">
        <v>6</v>
      </c>
      <c r="B20" s="1505" t="s">
        <v>624</v>
      </c>
      <c r="C20" s="1334">
        <v>1</v>
      </c>
      <c r="D20" s="1202">
        <v>4</v>
      </c>
      <c r="E20" s="1335">
        <v>33</v>
      </c>
      <c r="F20" s="201">
        <f>C20*D20*E20</f>
        <v>132</v>
      </c>
      <c r="G20" s="1506">
        <f>F20*0.226</f>
        <v>30</v>
      </c>
      <c r="H20" s="1309"/>
      <c r="I20" s="1312"/>
      <c r="J20" s="1469">
        <v>10</v>
      </c>
      <c r="K20" s="82">
        <v>70</v>
      </c>
      <c r="L20" s="82">
        <v>700</v>
      </c>
      <c r="M20" s="1354"/>
      <c r="N20" s="1354"/>
      <c r="O20" s="1202"/>
      <c r="P20" s="1520">
        <f>SUM(F20:G21,L20:L20)</f>
        <v>1107</v>
      </c>
      <c r="Q20" s="1279"/>
      <c r="R20" s="1711"/>
      <c r="S20" s="1685"/>
    </row>
    <row r="21" spans="1:19" s="161" customFormat="1" ht="13.5" customHeight="1" thickBot="1">
      <c r="A21" s="1571"/>
      <c r="B21" s="1507" t="s">
        <v>1070</v>
      </c>
      <c r="C21" s="1508">
        <v>2</v>
      </c>
      <c r="D21" s="1203">
        <v>1</v>
      </c>
      <c r="E21" s="1509">
        <v>100</v>
      </c>
      <c r="F21" s="105">
        <f>C21*D21*E21</f>
        <v>200</v>
      </c>
      <c r="G21" s="247">
        <f>F21*0.226</f>
        <v>45</v>
      </c>
      <c r="H21" s="1203"/>
      <c r="I21" s="1508"/>
      <c r="J21" s="1470"/>
      <c r="K21" s="75"/>
      <c r="L21" s="75"/>
      <c r="M21" s="308"/>
      <c r="N21" s="308"/>
      <c r="O21" s="1203"/>
      <c r="P21" s="1510"/>
      <c r="Q21" s="1280"/>
      <c r="R21" s="1711"/>
      <c r="S21" s="1685"/>
    </row>
    <row r="22" spans="1:19" s="4" customFormat="1" ht="21.75" customHeight="1">
      <c r="A22" s="1345">
        <v>7</v>
      </c>
      <c r="B22" s="105" t="s">
        <v>170</v>
      </c>
      <c r="C22" s="97">
        <v>6</v>
      </c>
      <c r="D22" s="97">
        <v>2</v>
      </c>
      <c r="E22" s="105">
        <v>120</v>
      </c>
      <c r="F22" s="105">
        <f t="shared" si="2"/>
        <v>1440</v>
      </c>
      <c r="G22" s="1547">
        <f>F22*0.228</f>
        <v>328</v>
      </c>
      <c r="H22" s="866"/>
      <c r="I22" s="1313"/>
      <c r="J22" s="1175">
        <v>10</v>
      </c>
      <c r="K22" s="871">
        <v>150</v>
      </c>
      <c r="L22" s="871">
        <f>J22*K22</f>
        <v>1500</v>
      </c>
      <c r="M22" s="105"/>
      <c r="N22" s="105"/>
      <c r="O22" s="105"/>
      <c r="P22" s="1468">
        <f>SUM(F22:G22,L22:L22)</f>
        <v>3268</v>
      </c>
      <c r="Q22" s="423"/>
      <c r="R22" s="1710"/>
      <c r="S22" s="1680" t="s">
        <v>220</v>
      </c>
    </row>
    <row r="23" spans="1:19" s="139" customFormat="1" ht="12">
      <c r="A23" s="1347">
        <v>8</v>
      </c>
      <c r="B23" s="202" t="s">
        <v>1241</v>
      </c>
      <c r="C23" s="1304">
        <v>2</v>
      </c>
      <c r="D23" s="202">
        <v>5</v>
      </c>
      <c r="E23" s="202">
        <v>150</v>
      </c>
      <c r="F23" s="1304">
        <f t="shared" si="2"/>
        <v>1500</v>
      </c>
      <c r="G23" s="1461">
        <f>F23*0.226</f>
        <v>339</v>
      </c>
      <c r="H23" s="211"/>
      <c r="I23" s="347"/>
      <c r="J23" s="1471">
        <v>12</v>
      </c>
      <c r="K23" s="1471">
        <v>150</v>
      </c>
      <c r="L23" s="1472">
        <f>J23*K23</f>
        <v>1800</v>
      </c>
      <c r="M23" s="203"/>
      <c r="N23" s="201"/>
      <c r="O23" s="201"/>
      <c r="P23" s="1467">
        <f>SUM(F23:G24,L23)</f>
        <v>3963</v>
      </c>
      <c r="Q23" s="1301" t="s">
        <v>1085</v>
      </c>
      <c r="R23" s="1707"/>
      <c r="S23" s="1682"/>
    </row>
    <row r="24" spans="1:19" s="139" customFormat="1" ht="12">
      <c r="A24" s="1345" t="s">
        <v>318</v>
      </c>
      <c r="B24" s="69" t="s">
        <v>1104</v>
      </c>
      <c r="C24" s="199">
        <v>1</v>
      </c>
      <c r="D24" s="97">
        <v>8</v>
      </c>
      <c r="E24" s="97">
        <v>33</v>
      </c>
      <c r="F24" s="199">
        <f t="shared" si="2"/>
        <v>264</v>
      </c>
      <c r="G24" s="1462">
        <f>F24*0.226</f>
        <v>60</v>
      </c>
      <c r="H24" s="141"/>
      <c r="I24" s="142"/>
      <c r="J24" s="1175"/>
      <c r="K24" s="1175"/>
      <c r="L24" s="275"/>
      <c r="M24" s="98"/>
      <c r="N24" s="105"/>
      <c r="O24" s="105"/>
      <c r="P24" s="1468"/>
      <c r="Q24" s="217"/>
      <c r="R24" s="1707"/>
      <c r="S24" s="1682"/>
    </row>
    <row r="25" spans="1:19" s="139" customFormat="1" ht="12.75" thickBot="1">
      <c r="A25" s="806">
        <v>9</v>
      </c>
      <c r="B25" s="121" t="s">
        <v>614</v>
      </c>
      <c r="C25" s="106">
        <v>3</v>
      </c>
      <c r="D25" s="106">
        <v>1</v>
      </c>
      <c r="E25" s="121">
        <v>100</v>
      </c>
      <c r="F25" s="121">
        <f t="shared" si="2"/>
        <v>300</v>
      </c>
      <c r="G25" s="1511">
        <f>F25*0.226</f>
        <v>68</v>
      </c>
      <c r="H25" s="122"/>
      <c r="I25" s="123"/>
      <c r="J25" s="256">
        <v>6</v>
      </c>
      <c r="K25" s="1473">
        <v>150</v>
      </c>
      <c r="L25" s="1480">
        <f>J25*K25</f>
        <v>900</v>
      </c>
      <c r="M25" s="203"/>
      <c r="N25" s="106"/>
      <c r="O25" s="106"/>
      <c r="P25" s="1512">
        <f>L25+F25+G25</f>
        <v>1268</v>
      </c>
      <c r="Q25" s="129"/>
      <c r="R25" s="1707"/>
      <c r="S25" s="1682"/>
    </row>
    <row r="26" spans="1:21" s="732" customFormat="1" ht="12.75" customHeight="1" thickBot="1">
      <c r="A26" s="1344"/>
      <c r="B26" s="697" t="s">
        <v>1783</v>
      </c>
      <c r="C26" s="696"/>
      <c r="D26" s="696"/>
      <c r="E26" s="697"/>
      <c r="F26" s="731">
        <f aca="true" t="shared" si="3" ref="F26:O26">SUM(F7:F25)</f>
        <v>118781</v>
      </c>
      <c r="G26" s="731">
        <f t="shared" si="3"/>
        <v>27160</v>
      </c>
      <c r="H26" s="731">
        <f t="shared" si="3"/>
        <v>1100</v>
      </c>
      <c r="I26" s="731">
        <f t="shared" si="3"/>
        <v>0</v>
      </c>
      <c r="J26" s="731"/>
      <c r="K26" s="731"/>
      <c r="L26" s="731">
        <f t="shared" si="3"/>
        <v>25700</v>
      </c>
      <c r="M26" s="731">
        <f t="shared" si="3"/>
        <v>57530</v>
      </c>
      <c r="N26" s="731">
        <f t="shared" si="3"/>
        <v>0</v>
      </c>
      <c r="O26" s="731">
        <f t="shared" si="3"/>
        <v>0</v>
      </c>
      <c r="P26" s="731">
        <f>SUM(P7:P25)</f>
        <v>230271</v>
      </c>
      <c r="Q26" s="731">
        <f>SUM(Q8:Q15)</f>
        <v>0</v>
      </c>
      <c r="R26" s="1712"/>
      <c r="S26" s="1422" t="s">
        <v>318</v>
      </c>
      <c r="T26" s="764">
        <f>SUM(F26:O26)</f>
        <v>230271</v>
      </c>
      <c r="U26" s="739"/>
    </row>
    <row r="27" spans="1:21" ht="12.75">
      <c r="A27" s="1381" t="s">
        <v>318</v>
      </c>
      <c r="B27" s="1382" t="s">
        <v>1784</v>
      </c>
      <c r="C27" s="178"/>
      <c r="D27" s="178"/>
      <c r="E27" s="1463"/>
      <c r="F27" s="1474"/>
      <c r="G27" s="1475"/>
      <c r="H27" s="1476"/>
      <c r="I27" s="1477"/>
      <c r="J27" s="1477"/>
      <c r="K27" s="1463"/>
      <c r="L27" s="1463"/>
      <c r="M27" s="1463"/>
      <c r="N27" s="1463"/>
      <c r="O27" s="1463"/>
      <c r="P27" s="1463"/>
      <c r="Q27" s="178"/>
      <c r="R27" s="1704"/>
      <c r="S27" s="903"/>
      <c r="T27" s="139"/>
      <c r="U27" s="139"/>
    </row>
    <row r="28" spans="1:19" s="4" customFormat="1" ht="20.25" customHeight="1">
      <c r="A28" s="1359">
        <v>1</v>
      </c>
      <c r="B28" s="410" t="s">
        <v>877</v>
      </c>
      <c r="C28" s="69">
        <v>26</v>
      </c>
      <c r="D28" s="69">
        <v>2</v>
      </c>
      <c r="E28" s="75">
        <v>150</v>
      </c>
      <c r="F28" s="1470">
        <f>C28*D28*E28</f>
        <v>7800</v>
      </c>
      <c r="G28" s="1478">
        <f>ROUND(F28*0.228,0)</f>
        <v>1778</v>
      </c>
      <c r="H28" s="1479"/>
      <c r="I28" s="1470" t="s">
        <v>318</v>
      </c>
      <c r="J28" s="1470">
        <v>17</v>
      </c>
      <c r="K28" s="75">
        <v>150</v>
      </c>
      <c r="L28" s="75">
        <f>J28*K28</f>
        <v>2550</v>
      </c>
      <c r="M28" s="75"/>
      <c r="N28" s="75"/>
      <c r="O28" s="75"/>
      <c r="P28" s="1466">
        <f>F28+L28+M28+N28+G28</f>
        <v>12128</v>
      </c>
      <c r="Q28" s="425" t="s">
        <v>541</v>
      </c>
      <c r="R28" s="1705"/>
      <c r="S28" s="1681"/>
    </row>
    <row r="29" spans="1:21" ht="15.75" customHeight="1">
      <c r="A29" s="806">
        <v>2</v>
      </c>
      <c r="B29" s="121" t="s">
        <v>687</v>
      </c>
      <c r="C29" s="106">
        <v>2</v>
      </c>
      <c r="D29" s="106">
        <v>4</v>
      </c>
      <c r="E29" s="1473">
        <v>170</v>
      </c>
      <c r="F29" s="1480">
        <f aca="true" t="shared" si="4" ref="F29:F34">C29*D29*E29</f>
        <v>1360</v>
      </c>
      <c r="G29" s="1481">
        <f aca="true" t="shared" si="5" ref="G29:G34">ROUND(F29*0.231,0)</f>
        <v>314</v>
      </c>
      <c r="H29" s="1482">
        <v>300</v>
      </c>
      <c r="I29" s="256"/>
      <c r="J29" s="256">
        <v>44</v>
      </c>
      <c r="K29" s="1473">
        <v>150</v>
      </c>
      <c r="L29" s="1473">
        <f>J29*K29</f>
        <v>6600</v>
      </c>
      <c r="M29" s="1473">
        <v>9000</v>
      </c>
      <c r="N29" s="1473"/>
      <c r="O29" s="1473"/>
      <c r="P29" s="1483">
        <f>SUM(F29:H34,L29:M34)</f>
        <v>44979</v>
      </c>
      <c r="Q29" s="1172"/>
      <c r="R29" s="1706" t="s">
        <v>541</v>
      </c>
      <c r="S29" s="903" t="s">
        <v>378</v>
      </c>
      <c r="T29" s="139"/>
      <c r="U29" s="139"/>
    </row>
    <row r="30" spans="1:21" ht="14.25" customHeight="1">
      <c r="A30" s="806"/>
      <c r="B30" s="121" t="s">
        <v>688</v>
      </c>
      <c r="C30" s="106">
        <v>0</v>
      </c>
      <c r="D30" s="106">
        <v>0</v>
      </c>
      <c r="E30" s="1473">
        <v>0</v>
      </c>
      <c r="F30" s="1480">
        <f t="shared" si="4"/>
        <v>0</v>
      </c>
      <c r="G30" s="1481">
        <f t="shared" si="5"/>
        <v>0</v>
      </c>
      <c r="H30" s="1482"/>
      <c r="I30" s="256" t="s">
        <v>1613</v>
      </c>
      <c r="J30" s="256">
        <v>3</v>
      </c>
      <c r="K30" s="1473">
        <v>400</v>
      </c>
      <c r="L30" s="1473">
        <f>J30*K30</f>
        <v>1200</v>
      </c>
      <c r="M30" s="1473"/>
      <c r="N30" s="1473"/>
      <c r="O30" s="1473"/>
      <c r="P30" s="1483"/>
      <c r="Q30" s="254"/>
      <c r="R30" s="1706"/>
      <c r="S30" s="903" t="s">
        <v>65</v>
      </c>
      <c r="T30" s="139"/>
      <c r="U30" s="139"/>
    </row>
    <row r="31" spans="1:21" ht="17.25" customHeight="1">
      <c r="A31" s="806"/>
      <c r="B31" s="121" t="s">
        <v>689</v>
      </c>
      <c r="C31" s="106">
        <v>15</v>
      </c>
      <c r="D31" s="106">
        <v>2</v>
      </c>
      <c r="E31" s="1473">
        <v>170</v>
      </c>
      <c r="F31" s="1480">
        <f>C31*D31*E31</f>
        <v>5100</v>
      </c>
      <c r="G31" s="1481">
        <f t="shared" si="5"/>
        <v>1178</v>
      </c>
      <c r="H31" s="1482"/>
      <c r="I31" s="256" t="s">
        <v>1598</v>
      </c>
      <c r="J31" s="256">
        <v>12</v>
      </c>
      <c r="K31" s="1473">
        <v>50</v>
      </c>
      <c r="L31" s="1473">
        <f>J31*K31</f>
        <v>600</v>
      </c>
      <c r="M31" s="1473"/>
      <c r="N31" s="1473"/>
      <c r="O31" s="1473"/>
      <c r="P31" s="1483"/>
      <c r="Q31" s="254"/>
      <c r="R31" s="1706"/>
      <c r="S31" s="903" t="s">
        <v>836</v>
      </c>
      <c r="T31" s="139"/>
      <c r="U31" s="139"/>
    </row>
    <row r="32" spans="1:21" ht="12.75">
      <c r="A32" s="806"/>
      <c r="B32" s="121" t="s">
        <v>835</v>
      </c>
      <c r="C32" s="106">
        <v>2</v>
      </c>
      <c r="D32" s="106">
        <v>4</v>
      </c>
      <c r="E32" s="1473">
        <v>150</v>
      </c>
      <c r="F32" s="1480">
        <f>C32*D32*E32</f>
        <v>1200</v>
      </c>
      <c r="G32" s="1481">
        <f t="shared" si="5"/>
        <v>277</v>
      </c>
      <c r="H32" s="1482"/>
      <c r="I32" s="256"/>
      <c r="J32" s="256"/>
      <c r="K32" s="1473"/>
      <c r="L32" s="1473"/>
      <c r="M32" s="1473"/>
      <c r="N32" s="1473"/>
      <c r="O32" s="1473"/>
      <c r="P32" s="1483"/>
      <c r="Q32" s="123"/>
      <c r="R32" s="1706"/>
      <c r="S32" s="903"/>
      <c r="T32" s="139"/>
      <c r="U32" s="139"/>
    </row>
    <row r="33" spans="1:20" ht="12.75">
      <c r="A33" s="1342"/>
      <c r="B33" s="121" t="s">
        <v>1420</v>
      </c>
      <c r="C33" s="106">
        <v>2</v>
      </c>
      <c r="D33" s="106">
        <v>16</v>
      </c>
      <c r="E33" s="1473">
        <v>33</v>
      </c>
      <c r="F33" s="1480">
        <f>C33*D33*E33</f>
        <v>1056</v>
      </c>
      <c r="G33" s="1481">
        <f t="shared" si="5"/>
        <v>244</v>
      </c>
      <c r="H33" s="1482"/>
      <c r="I33" s="1484"/>
      <c r="J33" s="207"/>
      <c r="K33" s="1485"/>
      <c r="L33" s="1486"/>
      <c r="M33" s="1486"/>
      <c r="N33" s="1486"/>
      <c r="O33" s="1486"/>
      <c r="P33" s="1486"/>
      <c r="Q33" s="21"/>
      <c r="R33" s="1709"/>
      <c r="S33" s="903"/>
      <c r="T33" s="39"/>
    </row>
    <row r="34" spans="1:21" ht="24">
      <c r="A34" s="1345"/>
      <c r="B34" s="1170" t="s">
        <v>319</v>
      </c>
      <c r="C34" s="97"/>
      <c r="D34" s="97"/>
      <c r="E34" s="871"/>
      <c r="F34" s="871">
        <f t="shared" si="4"/>
        <v>0</v>
      </c>
      <c r="G34" s="1481">
        <f t="shared" si="5"/>
        <v>0</v>
      </c>
      <c r="H34" s="1479"/>
      <c r="I34" s="1487">
        <v>3</v>
      </c>
      <c r="J34" s="1175">
        <v>19</v>
      </c>
      <c r="K34" s="871">
        <v>150</v>
      </c>
      <c r="L34" s="275">
        <f>I34*J34*K34</f>
        <v>8550</v>
      </c>
      <c r="M34" s="871">
        <v>8000</v>
      </c>
      <c r="N34" s="871"/>
      <c r="O34" s="871"/>
      <c r="P34" s="871"/>
      <c r="Q34" s="199"/>
      <c r="R34" s="1713" t="s">
        <v>1030</v>
      </c>
      <c r="S34" s="903"/>
      <c r="T34" s="139"/>
      <c r="U34" s="139"/>
    </row>
    <row r="35" spans="1:21" ht="13.5" customHeight="1">
      <c r="A35" s="806">
        <v>3</v>
      </c>
      <c r="B35" s="203" t="s">
        <v>1435</v>
      </c>
      <c r="C35" s="106">
        <v>2</v>
      </c>
      <c r="D35" s="106">
        <v>3</v>
      </c>
      <c r="E35" s="1473">
        <v>120</v>
      </c>
      <c r="F35" s="1473">
        <f aca="true" t="shared" si="6" ref="F35:F42">C35*D35*E35</f>
        <v>720</v>
      </c>
      <c r="G35" s="1488">
        <f aca="true" t="shared" si="7" ref="G35:G42">F35*0.226</f>
        <v>163</v>
      </c>
      <c r="H35" s="1489">
        <v>620</v>
      </c>
      <c r="I35" s="1490"/>
      <c r="J35" s="256"/>
      <c r="K35" s="1473"/>
      <c r="L35" s="1473"/>
      <c r="M35" s="1473"/>
      <c r="N35" s="1473"/>
      <c r="O35" s="1473"/>
      <c r="P35" s="1483">
        <f>SUM(F35:H38,L35:L36)</f>
        <v>2588</v>
      </c>
      <c r="Q35" s="413" t="s">
        <v>1084</v>
      </c>
      <c r="R35" s="1714"/>
      <c r="S35" s="903" t="s">
        <v>1071</v>
      </c>
      <c r="T35" s="21"/>
      <c r="U35" s="21"/>
    </row>
    <row r="36" spans="1:20" ht="12.75">
      <c r="A36" s="806"/>
      <c r="B36" s="127" t="s">
        <v>691</v>
      </c>
      <c r="C36" s="106">
        <v>6</v>
      </c>
      <c r="D36" s="106">
        <v>1</v>
      </c>
      <c r="E36" s="1473">
        <v>100</v>
      </c>
      <c r="F36" s="1473">
        <f t="shared" si="6"/>
        <v>600</v>
      </c>
      <c r="G36" s="1491">
        <f t="shared" si="7"/>
        <v>136</v>
      </c>
      <c r="H36" s="1489"/>
      <c r="I36" s="1490"/>
      <c r="J36" s="256"/>
      <c r="K36" s="1473"/>
      <c r="L36" s="1473"/>
      <c r="M36" s="1473"/>
      <c r="N36" s="1473"/>
      <c r="O36" s="1473"/>
      <c r="P36" s="1483"/>
      <c r="Q36" s="413"/>
      <c r="R36" s="1715"/>
      <c r="S36" s="1683"/>
      <c r="T36" s="39"/>
    </row>
    <row r="37" spans="1:20" ht="12.75">
      <c r="A37" s="806"/>
      <c r="B37" s="127" t="s">
        <v>1475</v>
      </c>
      <c r="C37" s="106">
        <v>1</v>
      </c>
      <c r="D37" s="106">
        <v>1</v>
      </c>
      <c r="E37" s="1473">
        <v>120</v>
      </c>
      <c r="F37" s="1473">
        <f t="shared" si="6"/>
        <v>120</v>
      </c>
      <c r="G37" s="1491">
        <f t="shared" si="7"/>
        <v>27</v>
      </c>
      <c r="H37" s="1489"/>
      <c r="I37" s="1490"/>
      <c r="J37" s="256"/>
      <c r="K37" s="1473"/>
      <c r="L37" s="1473"/>
      <c r="M37" s="1473"/>
      <c r="N37" s="1473"/>
      <c r="O37" s="1473"/>
      <c r="P37" s="1483"/>
      <c r="Q37" s="413"/>
      <c r="R37" s="1715"/>
      <c r="S37" s="1683"/>
      <c r="T37" s="39"/>
    </row>
    <row r="38" spans="1:20" ht="13.5" customHeight="1">
      <c r="A38" s="1345"/>
      <c r="B38" s="98" t="s">
        <v>1420</v>
      </c>
      <c r="C38" s="97">
        <v>1</v>
      </c>
      <c r="D38" s="1175">
        <v>5</v>
      </c>
      <c r="E38" s="871">
        <v>33</v>
      </c>
      <c r="F38" s="871">
        <f t="shared" si="6"/>
        <v>165</v>
      </c>
      <c r="G38" s="1492">
        <f t="shared" si="7"/>
        <v>37</v>
      </c>
      <c r="H38" s="1493"/>
      <c r="I38" s="1494"/>
      <c r="J38" s="1175"/>
      <c r="K38" s="871"/>
      <c r="L38" s="871"/>
      <c r="M38" s="871"/>
      <c r="N38" s="871"/>
      <c r="O38" s="871"/>
      <c r="P38" s="1468"/>
      <c r="Q38" s="1176"/>
      <c r="R38" s="1716"/>
      <c r="S38" s="1683"/>
      <c r="T38" s="39"/>
    </row>
    <row r="39" spans="1:19" s="170" customFormat="1" ht="21.75" customHeight="1">
      <c r="A39" s="1900">
        <v>4</v>
      </c>
      <c r="B39" s="252" t="s">
        <v>172</v>
      </c>
      <c r="E39" s="1495"/>
      <c r="F39" s="1496"/>
      <c r="G39" s="1497"/>
      <c r="H39" s="1400"/>
      <c r="I39" s="1498"/>
      <c r="J39" s="1498">
        <v>40</v>
      </c>
      <c r="K39" s="1495">
        <v>200</v>
      </c>
      <c r="L39" s="1496">
        <f aca="true" t="shared" si="8" ref="L39:L44">J39*K39</f>
        <v>8000</v>
      </c>
      <c r="M39" s="1496"/>
      <c r="N39" s="1496"/>
      <c r="O39" s="1496"/>
      <c r="P39" s="1401">
        <f>L39+L40</f>
        <v>11000</v>
      </c>
      <c r="Q39" s="195">
        <f>SUM(L39:L40)</f>
        <v>11000</v>
      </c>
      <c r="R39" s="1717" t="s">
        <v>541</v>
      </c>
      <c r="S39" s="1686"/>
    </row>
    <row r="40" spans="1:19" s="106" customFormat="1" ht="11.25" customHeight="1">
      <c r="A40" s="1901"/>
      <c r="B40" s="238"/>
      <c r="C40" s="97"/>
      <c r="D40" s="97"/>
      <c r="E40" s="871"/>
      <c r="F40" s="275"/>
      <c r="G40" s="1487"/>
      <c r="H40" s="1755"/>
      <c r="I40" s="1175"/>
      <c r="J40" s="1175">
        <v>1</v>
      </c>
      <c r="K40" s="871">
        <v>3000</v>
      </c>
      <c r="L40" s="275">
        <f t="shared" si="8"/>
        <v>3000</v>
      </c>
      <c r="M40" s="871"/>
      <c r="N40" s="871"/>
      <c r="O40" s="871"/>
      <c r="P40" s="871"/>
      <c r="Q40" s="98"/>
      <c r="R40" s="1713"/>
      <c r="S40" s="1686"/>
    </row>
    <row r="41" spans="1:20" ht="25.5" customHeight="1">
      <c r="A41" s="1345">
        <v>5</v>
      </c>
      <c r="B41" s="105" t="s">
        <v>222</v>
      </c>
      <c r="C41" s="199">
        <v>6</v>
      </c>
      <c r="D41" s="1175">
        <v>4</v>
      </c>
      <c r="E41" s="871">
        <v>120</v>
      </c>
      <c r="F41" s="871">
        <f t="shared" si="6"/>
        <v>2880</v>
      </c>
      <c r="G41" s="1494">
        <f t="shared" si="7"/>
        <v>651</v>
      </c>
      <c r="H41" s="1493"/>
      <c r="I41" s="1494"/>
      <c r="J41" s="1175"/>
      <c r="K41" s="871"/>
      <c r="L41" s="871">
        <f t="shared" si="8"/>
        <v>0</v>
      </c>
      <c r="M41" s="871">
        <v>12000</v>
      </c>
      <c r="N41" s="871"/>
      <c r="O41" s="871"/>
      <c r="P41" s="1468">
        <f>SUM(F41:G41,M41)</f>
        <v>15531</v>
      </c>
      <c r="Q41" s="1677" t="s">
        <v>541</v>
      </c>
      <c r="R41" s="1709"/>
      <c r="S41" s="903" t="s">
        <v>221</v>
      </c>
      <c r="T41" s="39"/>
    </row>
    <row r="42" spans="1:19" s="453" customFormat="1" ht="22.5" customHeight="1" thickBot="1">
      <c r="A42" s="1028">
        <v>6</v>
      </c>
      <c r="B42" s="232" t="s">
        <v>1926</v>
      </c>
      <c r="C42" s="93">
        <v>3</v>
      </c>
      <c r="D42" s="93">
        <v>4</v>
      </c>
      <c r="E42" s="451">
        <v>180</v>
      </c>
      <c r="F42" s="1548">
        <f t="shared" si="6"/>
        <v>2160</v>
      </c>
      <c r="G42" s="1554">
        <f t="shared" si="7"/>
        <v>488</v>
      </c>
      <c r="H42" s="1210"/>
      <c r="I42" s="1549"/>
      <c r="J42" s="1549">
        <v>2</v>
      </c>
      <c r="K42" s="451">
        <v>250</v>
      </c>
      <c r="L42" s="451">
        <f t="shared" si="8"/>
        <v>500</v>
      </c>
      <c r="M42" s="451"/>
      <c r="N42" s="451"/>
      <c r="O42" s="451"/>
      <c r="P42" s="1550">
        <f>F42+L42+M42+N42+G42</f>
        <v>3148</v>
      </c>
      <c r="Q42" s="1132"/>
      <c r="R42" s="1705"/>
      <c r="S42" s="1681"/>
    </row>
    <row r="43" spans="1:19" s="268" customFormat="1" ht="24">
      <c r="A43" s="1346">
        <v>7</v>
      </c>
      <c r="B43" s="265" t="s">
        <v>381</v>
      </c>
      <c r="C43" s="266">
        <v>2</v>
      </c>
      <c r="D43" s="266">
        <v>3</v>
      </c>
      <c r="E43" s="1307">
        <v>250</v>
      </c>
      <c r="F43" s="1551">
        <f>C43*D43*E43</f>
        <v>1500</v>
      </c>
      <c r="G43" s="1552">
        <f>F43*0.226</f>
        <v>339</v>
      </c>
      <c r="H43" s="1553"/>
      <c r="I43" s="1554"/>
      <c r="J43" s="1551">
        <v>3</v>
      </c>
      <c r="K43" s="1307">
        <v>150</v>
      </c>
      <c r="L43" s="1307">
        <f t="shared" si="8"/>
        <v>450</v>
      </c>
      <c r="M43" s="1307"/>
      <c r="N43" s="1307"/>
      <c r="O43" s="1307"/>
      <c r="P43" s="1555">
        <f>SUM(F43:G43,L43)</f>
        <v>2289</v>
      </c>
      <c r="Q43" s="1678"/>
      <c r="R43" s="1757"/>
      <c r="S43" s="1687"/>
    </row>
    <row r="44" spans="1:21" s="268" customFormat="1" ht="24.75" thickBot="1">
      <c r="A44" s="1264">
        <v>8</v>
      </c>
      <c r="B44" s="242" t="s">
        <v>1358</v>
      </c>
      <c r="C44" s="190"/>
      <c r="D44" s="190"/>
      <c r="E44" s="276"/>
      <c r="F44" s="1499"/>
      <c r="G44" s="1481"/>
      <c r="H44" s="1482" t="s">
        <v>318</v>
      </c>
      <c r="I44" s="1499"/>
      <c r="J44" s="1499">
        <v>15</v>
      </c>
      <c r="K44" s="276">
        <v>150</v>
      </c>
      <c r="L44" s="1399">
        <f t="shared" si="8"/>
        <v>2250</v>
      </c>
      <c r="M44" s="276"/>
      <c r="N44" s="276"/>
      <c r="O44" s="276"/>
      <c r="P44" s="1500">
        <f>SUM(F44:G44,L44:L44,H44)</f>
        <v>2250</v>
      </c>
      <c r="Q44" s="400"/>
      <c r="R44" s="1718" t="s">
        <v>541</v>
      </c>
      <c r="S44" s="1173" t="s">
        <v>318</v>
      </c>
      <c r="T44" s="190"/>
      <c r="U44" s="189"/>
    </row>
    <row r="45" spans="1:21" s="732" customFormat="1" ht="12.75" customHeight="1" thickBot="1">
      <c r="A45" s="1344"/>
      <c r="B45" s="697" t="s">
        <v>1783</v>
      </c>
      <c r="C45" s="696"/>
      <c r="D45" s="696"/>
      <c r="E45" s="697"/>
      <c r="F45" s="731">
        <f>SUM(F28:F44)</f>
        <v>24661</v>
      </c>
      <c r="G45" s="731">
        <f aca="true" t="shared" si="9" ref="G45:O45">SUM(G28:G44)</f>
        <v>5632</v>
      </c>
      <c r="H45" s="731">
        <f t="shared" si="9"/>
        <v>920</v>
      </c>
      <c r="I45" s="731"/>
      <c r="J45" s="731"/>
      <c r="K45" s="731"/>
      <c r="L45" s="731">
        <f t="shared" si="9"/>
        <v>33700</v>
      </c>
      <c r="M45" s="731">
        <f t="shared" si="9"/>
        <v>29000</v>
      </c>
      <c r="N45" s="731">
        <f t="shared" si="9"/>
        <v>0</v>
      </c>
      <c r="O45" s="731">
        <f t="shared" si="9"/>
        <v>0</v>
      </c>
      <c r="P45" s="731">
        <f>SUM(P28:P44)</f>
        <v>93913</v>
      </c>
      <c r="Q45" s="731" t="e">
        <f>SUM(#REF!,Q29,Q44,Q49)</f>
        <v>#REF!</v>
      </c>
      <c r="R45" s="1719"/>
      <c r="S45" s="1422" t="s">
        <v>318</v>
      </c>
      <c r="T45" s="764">
        <f>SUM(F45:O45)</f>
        <v>93913</v>
      </c>
      <c r="U45" s="739"/>
    </row>
    <row r="46" spans="1:21" ht="15.75" customHeight="1">
      <c r="A46" s="806"/>
      <c r="B46" s="135" t="s">
        <v>1785</v>
      </c>
      <c r="C46" s="106"/>
      <c r="D46" s="106"/>
      <c r="E46" s="121"/>
      <c r="F46" s="121"/>
      <c r="G46" s="1428"/>
      <c r="H46" s="1432"/>
      <c r="I46" s="106"/>
      <c r="J46" s="106"/>
      <c r="K46" s="121"/>
      <c r="L46" s="121"/>
      <c r="M46" s="121"/>
      <c r="N46" s="121"/>
      <c r="O46" s="121"/>
      <c r="P46" s="121"/>
      <c r="Q46" s="106"/>
      <c r="R46" s="1707"/>
      <c r="S46" s="903"/>
      <c r="T46" s="139"/>
      <c r="U46" s="139"/>
    </row>
    <row r="47" spans="1:19" s="13" customFormat="1" ht="31.5" customHeight="1">
      <c r="A47" s="1343">
        <v>1</v>
      </c>
      <c r="B47" s="309" t="s">
        <v>224</v>
      </c>
      <c r="C47" s="28">
        <v>42</v>
      </c>
      <c r="D47" s="28">
        <v>1</v>
      </c>
      <c r="E47" s="28">
        <v>150</v>
      </c>
      <c r="F47" s="169">
        <f>C47*D47*E47</f>
        <v>6300</v>
      </c>
      <c r="G47" s="1167">
        <f>F47*0.231</f>
        <v>1455</v>
      </c>
      <c r="H47" s="1432"/>
      <c r="I47" s="28"/>
      <c r="J47" s="28">
        <v>43</v>
      </c>
      <c r="K47" s="66">
        <v>150</v>
      </c>
      <c r="L47" s="59">
        <f>J47*K47</f>
        <v>6450</v>
      </c>
      <c r="M47" s="59"/>
      <c r="N47" s="28"/>
      <c r="O47" s="60"/>
      <c r="P47" s="72">
        <f>SUM(F47:G47,L47:L47,N47:N47)</f>
        <v>14205</v>
      </c>
      <c r="Q47" s="426" t="s">
        <v>1408</v>
      </c>
      <c r="R47" s="1756"/>
      <c r="S47" s="1681"/>
    </row>
    <row r="48" spans="1:21" s="268" customFormat="1" ht="48">
      <c r="A48" s="1346">
        <v>2</v>
      </c>
      <c r="B48" s="265" t="s">
        <v>1459</v>
      </c>
      <c r="C48" s="266"/>
      <c r="D48" s="266"/>
      <c r="E48" s="265"/>
      <c r="F48" s="261"/>
      <c r="G48" s="1429"/>
      <c r="H48" s="1441"/>
      <c r="I48" s="266">
        <v>4</v>
      </c>
      <c r="J48" s="266">
        <v>15</v>
      </c>
      <c r="K48" s="265">
        <v>150</v>
      </c>
      <c r="L48" s="264">
        <f>J48*K48*I48</f>
        <v>9000</v>
      </c>
      <c r="M48" s="265"/>
      <c r="N48" s="265"/>
      <c r="O48" s="242"/>
      <c r="P48" s="242">
        <f>L48</f>
        <v>9000</v>
      </c>
      <c r="Q48" s="190"/>
      <c r="R48" s="1658" t="s">
        <v>1032</v>
      </c>
      <c r="S48" s="1173"/>
      <c r="T48" s="189"/>
      <c r="U48" s="189"/>
    </row>
    <row r="49" spans="1:21" s="268" customFormat="1" ht="26.25" customHeight="1">
      <c r="A49" s="1346">
        <v>3</v>
      </c>
      <c r="B49" s="265" t="s">
        <v>414</v>
      </c>
      <c r="C49" s="266"/>
      <c r="D49" s="266"/>
      <c r="E49" s="265"/>
      <c r="F49" s="265"/>
      <c r="G49" s="1429"/>
      <c r="H49" s="1441"/>
      <c r="I49" s="266"/>
      <c r="J49" s="266">
        <v>15</v>
      </c>
      <c r="K49" s="265">
        <v>150</v>
      </c>
      <c r="L49" s="261">
        <f aca="true" t="shared" si="10" ref="L49:L54">J49*K49</f>
        <v>2250</v>
      </c>
      <c r="M49" s="250"/>
      <c r="N49" s="265"/>
      <c r="O49" s="265"/>
      <c r="P49" s="265">
        <f>L49</f>
        <v>2250</v>
      </c>
      <c r="Q49" s="266"/>
      <c r="R49" s="1720" t="s">
        <v>1031</v>
      </c>
      <c r="S49" s="1173"/>
      <c r="T49" s="189"/>
      <c r="U49" s="189"/>
    </row>
    <row r="50" spans="1:21" ht="20.25" customHeight="1">
      <c r="A50" s="806">
        <v>4</v>
      </c>
      <c r="B50" s="121" t="s">
        <v>512</v>
      </c>
      <c r="C50" s="1304">
        <v>0</v>
      </c>
      <c r="D50" s="202">
        <v>0</v>
      </c>
      <c r="E50" s="202">
        <v>0</v>
      </c>
      <c r="F50" s="1304">
        <f aca="true" t="shared" si="11" ref="F50:F56">C50*D50*E50</f>
        <v>0</v>
      </c>
      <c r="G50" s="1426">
        <f>ROUND(F50*0.226,0)</f>
        <v>0</v>
      </c>
      <c r="H50" s="1433">
        <v>800</v>
      </c>
      <c r="I50" s="202"/>
      <c r="J50" s="202">
        <v>15</v>
      </c>
      <c r="K50" s="201">
        <v>150</v>
      </c>
      <c r="L50" s="202">
        <f t="shared" si="10"/>
        <v>2250</v>
      </c>
      <c r="M50" s="203"/>
      <c r="N50" s="201"/>
      <c r="O50" s="201"/>
      <c r="P50" s="211">
        <f>SUM(F50:H55,L50:M55)</f>
        <v>25678</v>
      </c>
      <c r="Q50" s="202"/>
      <c r="R50" s="1721" t="s">
        <v>1029</v>
      </c>
      <c r="S50" s="903"/>
      <c r="T50" s="139"/>
      <c r="U50" s="139"/>
    </row>
    <row r="51" spans="1:21" ht="16.5" customHeight="1">
      <c r="A51" s="806"/>
      <c r="B51" s="121" t="s">
        <v>690</v>
      </c>
      <c r="C51" s="126">
        <v>12</v>
      </c>
      <c r="D51" s="106">
        <v>3</v>
      </c>
      <c r="E51" s="106">
        <v>170</v>
      </c>
      <c r="F51" s="126">
        <f t="shared" si="11"/>
        <v>6120</v>
      </c>
      <c r="G51" s="1428">
        <f>ROUND(F51*0.231,0)</f>
        <v>1414</v>
      </c>
      <c r="H51" s="1432"/>
      <c r="I51" s="106" t="s">
        <v>1598</v>
      </c>
      <c r="J51" s="106">
        <v>15</v>
      </c>
      <c r="K51" s="121">
        <v>50</v>
      </c>
      <c r="L51" s="106">
        <f t="shared" si="10"/>
        <v>750</v>
      </c>
      <c r="M51" s="127"/>
      <c r="N51" s="121"/>
      <c r="O51" s="121"/>
      <c r="P51" s="121"/>
      <c r="Q51" s="106"/>
      <c r="R51" s="1708"/>
      <c r="S51" s="903" t="s">
        <v>379</v>
      </c>
      <c r="T51" s="139"/>
      <c r="U51" s="139"/>
    </row>
    <row r="52" spans="1:21" ht="15.75" customHeight="1">
      <c r="A52" s="806"/>
      <c r="B52" s="121" t="s">
        <v>691</v>
      </c>
      <c r="C52" s="126">
        <v>33</v>
      </c>
      <c r="D52" s="106">
        <v>1</v>
      </c>
      <c r="E52" s="106">
        <v>150</v>
      </c>
      <c r="F52" s="126">
        <f t="shared" si="11"/>
        <v>4950</v>
      </c>
      <c r="G52" s="1428">
        <f>ROUND(F52*0.231,0)</f>
        <v>1143</v>
      </c>
      <c r="H52" s="1432"/>
      <c r="I52" s="106"/>
      <c r="J52" s="106"/>
      <c r="K52" s="121"/>
      <c r="L52" s="106">
        <f t="shared" si="10"/>
        <v>0</v>
      </c>
      <c r="M52" s="127"/>
      <c r="N52" s="121"/>
      <c r="O52" s="121"/>
      <c r="P52" s="121"/>
      <c r="Q52" s="106"/>
      <c r="R52" s="1708"/>
      <c r="S52" s="903" t="s">
        <v>692</v>
      </c>
      <c r="T52" s="139"/>
      <c r="U52" s="139"/>
    </row>
    <row r="53" spans="1:21" ht="12.75">
      <c r="A53" s="806"/>
      <c r="B53" s="121" t="s">
        <v>835</v>
      </c>
      <c r="C53" s="126">
        <v>8</v>
      </c>
      <c r="D53" s="106">
        <v>3</v>
      </c>
      <c r="E53" s="106">
        <v>120</v>
      </c>
      <c r="F53" s="126">
        <f t="shared" si="11"/>
        <v>2880</v>
      </c>
      <c r="G53" s="1428">
        <f>ROUND(F53*0.231,0)</f>
        <v>665</v>
      </c>
      <c r="H53" s="1432"/>
      <c r="I53" s="106"/>
      <c r="J53" s="106"/>
      <c r="K53" s="121"/>
      <c r="L53" s="106">
        <f t="shared" si="10"/>
        <v>0</v>
      </c>
      <c r="M53" s="127"/>
      <c r="N53" s="121"/>
      <c r="O53" s="121"/>
      <c r="P53" s="121"/>
      <c r="Q53" s="106"/>
      <c r="R53" s="1708"/>
      <c r="S53" s="903"/>
      <c r="T53" s="139"/>
      <c r="U53" s="139"/>
    </row>
    <row r="54" spans="1:21" ht="12.75">
      <c r="A54" s="806"/>
      <c r="B54" s="121" t="s">
        <v>1420</v>
      </c>
      <c r="C54" s="126">
        <v>2</v>
      </c>
      <c r="D54" s="106">
        <v>21</v>
      </c>
      <c r="E54" s="106">
        <v>33</v>
      </c>
      <c r="F54" s="126">
        <f t="shared" si="11"/>
        <v>1386</v>
      </c>
      <c r="G54" s="1428">
        <f>ROUND(F54*0.231,0)</f>
        <v>320</v>
      </c>
      <c r="H54" s="1432"/>
      <c r="I54" s="106"/>
      <c r="J54" s="106"/>
      <c r="K54" s="121"/>
      <c r="L54" s="106">
        <f t="shared" si="10"/>
        <v>0</v>
      </c>
      <c r="M54" s="127"/>
      <c r="N54" s="121"/>
      <c r="O54" s="121"/>
      <c r="P54" s="121"/>
      <c r="Q54" s="106"/>
      <c r="R54" s="1708"/>
      <c r="S54" s="903"/>
      <c r="T54" s="139"/>
      <c r="U54" s="139"/>
    </row>
    <row r="55" spans="1:21" ht="12.75">
      <c r="A55" s="1345"/>
      <c r="B55" s="105" t="s">
        <v>319</v>
      </c>
      <c r="C55" s="199"/>
      <c r="D55" s="97"/>
      <c r="E55" s="97"/>
      <c r="F55" s="199">
        <f t="shared" si="11"/>
        <v>0</v>
      </c>
      <c r="G55" s="1425">
        <f>ROUND(F55*0.231,0)</f>
        <v>0</v>
      </c>
      <c r="H55" s="1434"/>
      <c r="I55" s="97">
        <v>3</v>
      </c>
      <c r="J55" s="97">
        <v>10</v>
      </c>
      <c r="K55" s="105">
        <v>100</v>
      </c>
      <c r="L55" s="97">
        <f>I55*J55*K55</f>
        <v>3000</v>
      </c>
      <c r="M55" s="98"/>
      <c r="N55" s="105"/>
      <c r="O55" s="105"/>
      <c r="P55" s="105" t="s">
        <v>318</v>
      </c>
      <c r="Q55" s="97"/>
      <c r="R55" s="1722"/>
      <c r="S55" s="903"/>
      <c r="T55" s="139"/>
      <c r="U55" s="139"/>
    </row>
    <row r="56" spans="1:19" s="21" customFormat="1" ht="20.25" customHeight="1">
      <c r="A56" s="806">
        <v>5</v>
      </c>
      <c r="B56" s="121" t="s">
        <v>223</v>
      </c>
      <c r="C56" s="106">
        <v>6</v>
      </c>
      <c r="D56" s="256">
        <v>8</v>
      </c>
      <c r="E56" s="121">
        <v>120</v>
      </c>
      <c r="F56" s="121">
        <f t="shared" si="11"/>
        <v>5760</v>
      </c>
      <c r="G56" s="846">
        <f aca="true" t="shared" si="12" ref="G56:G61">F56*0.226</f>
        <v>1302</v>
      </c>
      <c r="H56" s="1439"/>
      <c r="I56" s="846"/>
      <c r="J56" s="106"/>
      <c r="K56" s="121"/>
      <c r="L56" s="121">
        <f>J56*K56</f>
        <v>0</v>
      </c>
      <c r="M56" s="121">
        <v>18000</v>
      </c>
      <c r="N56" s="106"/>
      <c r="O56" s="203"/>
      <c r="P56" s="122">
        <f>SUM(F56:G56,M56)</f>
        <v>25062</v>
      </c>
      <c r="Q56" s="1560" t="s">
        <v>541</v>
      </c>
      <c r="R56" s="1723"/>
      <c r="S56" s="903" t="s">
        <v>1827</v>
      </c>
    </row>
    <row r="57" spans="1:20" ht="25.5" customHeight="1">
      <c r="A57" s="1383">
        <v>6</v>
      </c>
      <c r="B57" s="1177" t="s">
        <v>695</v>
      </c>
      <c r="C57" s="1304">
        <v>3</v>
      </c>
      <c r="D57" s="202">
        <v>1</v>
      </c>
      <c r="E57" s="201">
        <v>100</v>
      </c>
      <c r="F57" s="202">
        <f>C57*D57*E57</f>
        <v>300</v>
      </c>
      <c r="G57" s="1337">
        <f t="shared" si="12"/>
        <v>68</v>
      </c>
      <c r="H57" s="1442"/>
      <c r="I57" s="1337"/>
      <c r="J57" s="202">
        <v>18</v>
      </c>
      <c r="K57" s="201">
        <v>100</v>
      </c>
      <c r="L57" s="202">
        <f>J57*K57</f>
        <v>1800</v>
      </c>
      <c r="M57" s="203"/>
      <c r="N57" s="202"/>
      <c r="O57" s="203"/>
      <c r="P57" s="212">
        <f>SUM(F57:G58,L57)</f>
        <v>2330</v>
      </c>
      <c r="Q57" s="1336"/>
      <c r="R57" s="1709"/>
      <c r="S57" s="1683"/>
      <c r="T57" s="39"/>
    </row>
    <row r="58" spans="1:20" ht="13.5" customHeight="1">
      <c r="A58" s="1384"/>
      <c r="B58" s="98" t="s">
        <v>1420</v>
      </c>
      <c r="C58" s="199">
        <v>1</v>
      </c>
      <c r="D58" s="97">
        <v>4</v>
      </c>
      <c r="E58" s="105">
        <v>33</v>
      </c>
      <c r="F58" s="97">
        <f>C58*D58*E58</f>
        <v>132</v>
      </c>
      <c r="G58" s="1338">
        <f t="shared" si="12"/>
        <v>30</v>
      </c>
      <c r="H58" s="1443"/>
      <c r="I58" s="1338"/>
      <c r="J58" s="97"/>
      <c r="K58" s="105"/>
      <c r="L58" s="97"/>
      <c r="M58" s="98"/>
      <c r="N58" s="97"/>
      <c r="O58" s="98"/>
      <c r="P58" s="143"/>
      <c r="Q58" s="1336"/>
      <c r="R58" s="1709"/>
      <c r="S58" s="1683"/>
      <c r="T58" s="39"/>
    </row>
    <row r="59" spans="1:19" s="139" customFormat="1" ht="12">
      <c r="A59" s="806">
        <v>7</v>
      </c>
      <c r="B59" s="121" t="s">
        <v>615</v>
      </c>
      <c r="C59" s="106">
        <v>2</v>
      </c>
      <c r="D59" s="106">
        <v>1</v>
      </c>
      <c r="E59" s="121">
        <v>150</v>
      </c>
      <c r="F59" s="98">
        <f>C59*D59*E59</f>
        <v>300</v>
      </c>
      <c r="G59" s="1183">
        <f t="shared" si="12"/>
        <v>68</v>
      </c>
      <c r="H59" s="1444"/>
      <c r="I59" s="123"/>
      <c r="J59" s="106">
        <v>12</v>
      </c>
      <c r="K59" s="121">
        <v>150</v>
      </c>
      <c r="L59" s="127">
        <f>J59*K59</f>
        <v>1800</v>
      </c>
      <c r="M59" s="121"/>
      <c r="N59" s="98"/>
      <c r="O59" s="98"/>
      <c r="P59" s="143">
        <f>L59+F59+G59</f>
        <v>2168</v>
      </c>
      <c r="Q59" s="1308" t="s">
        <v>1085</v>
      </c>
      <c r="R59" s="1724"/>
      <c r="S59" s="1682"/>
    </row>
    <row r="60" spans="1:19" s="139" customFormat="1" ht="12">
      <c r="A60" s="1347">
        <v>8</v>
      </c>
      <c r="B60" s="201" t="s">
        <v>616</v>
      </c>
      <c r="C60" s="202">
        <v>5</v>
      </c>
      <c r="D60" s="202">
        <v>1</v>
      </c>
      <c r="E60" s="201">
        <v>150</v>
      </c>
      <c r="F60" s="203">
        <f>C60*D60*E60</f>
        <v>750</v>
      </c>
      <c r="G60" s="254">
        <f t="shared" si="12"/>
        <v>170</v>
      </c>
      <c r="H60" s="1435"/>
      <c r="I60" s="347"/>
      <c r="J60" s="202">
        <v>14</v>
      </c>
      <c r="K60" s="201">
        <v>150</v>
      </c>
      <c r="L60" s="203">
        <f>J60*K60</f>
        <v>2100</v>
      </c>
      <c r="M60" s="201"/>
      <c r="N60" s="121"/>
      <c r="O60" s="121"/>
      <c r="P60" s="122">
        <f>SUM(F60:G61,L60)</f>
        <v>3141</v>
      </c>
      <c r="Q60" s="1302"/>
      <c r="R60" s="1707"/>
      <c r="S60" s="1682"/>
    </row>
    <row r="61" spans="1:19" s="139" customFormat="1" ht="12">
      <c r="A61" s="806"/>
      <c r="B61" s="66" t="s">
        <v>1236</v>
      </c>
      <c r="C61" s="106">
        <v>1</v>
      </c>
      <c r="D61" s="106">
        <v>3</v>
      </c>
      <c r="E61" s="121">
        <v>33</v>
      </c>
      <c r="F61" s="121">
        <f>C61*D61*E61</f>
        <v>99</v>
      </c>
      <c r="G61" s="254">
        <f t="shared" si="12"/>
        <v>22</v>
      </c>
      <c r="H61" s="1436"/>
      <c r="I61" s="123"/>
      <c r="J61" s="106"/>
      <c r="K61" s="121"/>
      <c r="L61" s="127"/>
      <c r="M61" s="121"/>
      <c r="N61" s="121"/>
      <c r="O61" s="121"/>
      <c r="P61" s="121"/>
      <c r="Q61" s="1302"/>
      <c r="R61" s="1707"/>
      <c r="S61" s="1682"/>
    </row>
    <row r="62" spans="1:21" s="268" customFormat="1" ht="24" customHeight="1">
      <c r="A62" s="1346">
        <v>9</v>
      </c>
      <c r="B62" s="265" t="s">
        <v>1518</v>
      </c>
      <c r="C62" s="266"/>
      <c r="D62" s="266"/>
      <c r="E62" s="265"/>
      <c r="F62" s="1307"/>
      <c r="G62" s="1429"/>
      <c r="H62" s="1441"/>
      <c r="I62" s="266"/>
      <c r="J62" s="266">
        <v>18</v>
      </c>
      <c r="K62" s="265">
        <v>150</v>
      </c>
      <c r="L62" s="265">
        <f>J62*K62</f>
        <v>2700</v>
      </c>
      <c r="M62" s="265"/>
      <c r="N62" s="265"/>
      <c r="O62" s="265"/>
      <c r="P62" s="307">
        <f>SUM(F62:G62,L62:M62)</f>
        <v>2700</v>
      </c>
      <c r="Q62" s="266"/>
      <c r="R62" s="1724" t="s">
        <v>844</v>
      </c>
      <c r="S62" s="906"/>
      <c r="T62" s="189"/>
      <c r="U62" s="189"/>
    </row>
    <row r="63" spans="1:21" s="732" customFormat="1" ht="12.75" customHeight="1" thickBot="1">
      <c r="A63" s="1385"/>
      <c r="B63" s="1367" t="s">
        <v>1783</v>
      </c>
      <c r="C63" s="720"/>
      <c r="D63" s="720"/>
      <c r="E63" s="720"/>
      <c r="F63" s="1386">
        <f aca="true" t="shared" si="13" ref="F63:O63">SUM(F47:F62)</f>
        <v>28977</v>
      </c>
      <c r="G63" s="1386">
        <f t="shared" si="13"/>
        <v>6657</v>
      </c>
      <c r="H63" s="1386">
        <f t="shared" si="13"/>
        <v>800</v>
      </c>
      <c r="I63" s="1386"/>
      <c r="J63" s="1386"/>
      <c r="K63" s="1386"/>
      <c r="L63" s="1386">
        <f t="shared" si="13"/>
        <v>32100</v>
      </c>
      <c r="M63" s="1386">
        <f t="shared" si="13"/>
        <v>18000</v>
      </c>
      <c r="N63" s="1386">
        <f t="shared" si="13"/>
        <v>0</v>
      </c>
      <c r="O63" s="1386">
        <f t="shared" si="13"/>
        <v>0</v>
      </c>
      <c r="P63" s="1386">
        <f>SUM(P47:P62)</f>
        <v>86534</v>
      </c>
      <c r="Q63" s="1368">
        <f>SUM(Q48:Q55)</f>
        <v>0</v>
      </c>
      <c r="R63" s="1725"/>
      <c r="S63" s="1422" t="s">
        <v>318</v>
      </c>
      <c r="T63" s="764">
        <f>SUM(F63:M63)</f>
        <v>86534</v>
      </c>
      <c r="U63" s="739"/>
    </row>
    <row r="64" spans="1:21" ht="15.75" customHeight="1">
      <c r="A64" s="1381" t="s">
        <v>318</v>
      </c>
      <c r="B64" s="1382" t="s">
        <v>1786</v>
      </c>
      <c r="C64" s="178"/>
      <c r="D64" s="178"/>
      <c r="E64" s="220"/>
      <c r="F64" s="220"/>
      <c r="G64" s="1427"/>
      <c r="H64" s="1438"/>
      <c r="I64" s="178"/>
      <c r="J64" s="178"/>
      <c r="K64" s="220"/>
      <c r="L64" s="220"/>
      <c r="M64" s="220"/>
      <c r="N64" s="220"/>
      <c r="O64" s="220"/>
      <c r="P64" s="220"/>
      <c r="Q64" s="178"/>
      <c r="R64" s="1704"/>
      <c r="S64" s="903"/>
      <c r="T64" s="139"/>
      <c r="U64" s="139"/>
    </row>
    <row r="65" spans="1:21" ht="15.75" customHeight="1">
      <c r="A65" s="1347">
        <v>1</v>
      </c>
      <c r="B65" s="127" t="s">
        <v>1226</v>
      </c>
      <c r="C65" s="106">
        <v>2</v>
      </c>
      <c r="D65" s="106">
        <v>5</v>
      </c>
      <c r="E65" s="121">
        <v>170</v>
      </c>
      <c r="F65" s="121">
        <f aca="true" t="shared" si="14" ref="F65:F78">C65*D65*E65</f>
        <v>1700</v>
      </c>
      <c r="G65" s="1428">
        <f>ROUND(F65*0.231,0)</f>
        <v>393</v>
      </c>
      <c r="H65" s="1432"/>
      <c r="I65" s="106"/>
      <c r="J65" s="106"/>
      <c r="K65" s="121"/>
      <c r="L65" s="121"/>
      <c r="M65" s="121"/>
      <c r="N65" s="121"/>
      <c r="O65" s="121"/>
      <c r="P65" s="121"/>
      <c r="Q65" s="106"/>
      <c r="R65" s="1707"/>
      <c r="S65" s="903"/>
      <c r="T65" s="139"/>
      <c r="U65" s="139"/>
    </row>
    <row r="66" spans="1:21" ht="15.75" customHeight="1">
      <c r="A66" s="806"/>
      <c r="B66" s="127" t="s">
        <v>1465</v>
      </c>
      <c r="C66" s="106">
        <v>3</v>
      </c>
      <c r="D66" s="106">
        <v>10</v>
      </c>
      <c r="E66" s="121">
        <v>90</v>
      </c>
      <c r="F66" s="121">
        <f t="shared" si="14"/>
        <v>2700</v>
      </c>
      <c r="G66" s="1428">
        <f>ROUND(F66*0.231,0)</f>
        <v>624</v>
      </c>
      <c r="H66" s="1432"/>
      <c r="I66" s="106"/>
      <c r="J66" s="106"/>
      <c r="K66" s="121"/>
      <c r="L66" s="121"/>
      <c r="M66" s="121"/>
      <c r="N66" s="121"/>
      <c r="O66" s="121"/>
      <c r="P66" s="121"/>
      <c r="Q66" s="106"/>
      <c r="R66" s="1707"/>
      <c r="S66" s="903"/>
      <c r="T66" s="139"/>
      <c r="U66" s="139"/>
    </row>
    <row r="67" spans="1:21" ht="15.75" customHeight="1">
      <c r="A67" s="806"/>
      <c r="B67" s="121" t="s">
        <v>835</v>
      </c>
      <c r="C67" s="106">
        <v>2</v>
      </c>
      <c r="D67" s="106">
        <v>4</v>
      </c>
      <c r="E67" s="121">
        <v>120</v>
      </c>
      <c r="F67" s="121">
        <f t="shared" si="14"/>
        <v>960</v>
      </c>
      <c r="G67" s="1428">
        <f>ROUND(F67*0.231,0)</f>
        <v>222</v>
      </c>
      <c r="H67" s="1432"/>
      <c r="I67" s="106"/>
      <c r="J67" s="106"/>
      <c r="K67" s="121"/>
      <c r="L67" s="121"/>
      <c r="M67" s="121"/>
      <c r="N67" s="121"/>
      <c r="O67" s="121"/>
      <c r="P67" s="121"/>
      <c r="Q67" s="106"/>
      <c r="R67" s="1707"/>
      <c r="S67" s="903"/>
      <c r="T67" s="139"/>
      <c r="U67" s="139"/>
    </row>
    <row r="68" spans="1:21" ht="15.75" customHeight="1">
      <c r="A68" s="1350"/>
      <c r="B68" s="105" t="s">
        <v>1224</v>
      </c>
      <c r="C68" s="97">
        <v>2</v>
      </c>
      <c r="D68" s="97">
        <v>12</v>
      </c>
      <c r="E68" s="105">
        <v>33</v>
      </c>
      <c r="F68" s="105">
        <f t="shared" si="14"/>
        <v>792</v>
      </c>
      <c r="G68" s="1428">
        <f>ROUND(F68*0.231,0)</f>
        <v>183</v>
      </c>
      <c r="H68" s="1434"/>
      <c r="I68" s="97"/>
      <c r="J68" s="97">
        <v>12</v>
      </c>
      <c r="K68" s="105">
        <v>150</v>
      </c>
      <c r="L68" s="105">
        <f>J68*K68</f>
        <v>1800</v>
      </c>
      <c r="M68" s="105">
        <v>1020</v>
      </c>
      <c r="N68" s="105"/>
      <c r="O68" s="105"/>
      <c r="P68" s="141">
        <f>SUM(F65:G68,L68:M68)</f>
        <v>10394</v>
      </c>
      <c r="Q68" s="97"/>
      <c r="R68" s="1713" t="s">
        <v>283</v>
      </c>
      <c r="S68" s="903" t="s">
        <v>1466</v>
      </c>
      <c r="T68" s="139"/>
      <c r="U68" s="139"/>
    </row>
    <row r="69" spans="1:19" s="4" customFormat="1" ht="15" customHeight="1">
      <c r="A69" s="1562">
        <v>2</v>
      </c>
      <c r="B69" s="1888" t="s">
        <v>1209</v>
      </c>
      <c r="C69" s="455">
        <v>65</v>
      </c>
      <c r="D69" s="455">
        <v>1</v>
      </c>
      <c r="E69" s="456">
        <v>150</v>
      </c>
      <c r="F69" s="458">
        <f t="shared" si="14"/>
        <v>9750</v>
      </c>
      <c r="G69" s="1426">
        <f>ROUND(F69*0.231,0)</f>
        <v>2252</v>
      </c>
      <c r="H69" s="1433"/>
      <c r="I69" s="455"/>
      <c r="J69" s="455">
        <v>30</v>
      </c>
      <c r="K69" s="455">
        <v>150</v>
      </c>
      <c r="L69" s="68">
        <f>J69*K69</f>
        <v>4500</v>
      </c>
      <c r="M69" s="456"/>
      <c r="N69" s="459"/>
      <c r="O69" s="459"/>
      <c r="P69" s="458">
        <f>SUM(F69:H70,L69:N70,)</f>
        <v>21602</v>
      </c>
      <c r="Q69" s="1814" t="s">
        <v>1787</v>
      </c>
      <c r="R69" s="1705"/>
      <c r="S69" s="1681"/>
    </row>
    <row r="70" spans="1:19" s="453" customFormat="1" ht="15" customHeight="1">
      <c r="A70" s="1359"/>
      <c r="B70" s="1889"/>
      <c r="C70" s="69"/>
      <c r="D70" s="69"/>
      <c r="E70" s="58"/>
      <c r="F70" s="58">
        <f t="shared" si="14"/>
        <v>0</v>
      </c>
      <c r="G70" s="1425">
        <f>ROUND(F70*0.228,0)</f>
        <v>0</v>
      </c>
      <c r="H70" s="1434">
        <v>3600</v>
      </c>
      <c r="I70" s="69"/>
      <c r="J70" s="69">
        <v>30</v>
      </c>
      <c r="K70" s="69">
        <v>50</v>
      </c>
      <c r="L70" s="60">
        <f>J70*K70</f>
        <v>1500</v>
      </c>
      <c r="M70" s="58"/>
      <c r="N70" s="72" t="s">
        <v>318</v>
      </c>
      <c r="O70" s="72"/>
      <c r="P70" s="60"/>
      <c r="Q70" s="1815"/>
      <c r="R70" s="1726"/>
      <c r="S70" s="1681"/>
    </row>
    <row r="71" spans="1:21" ht="13.5" customHeight="1">
      <c r="A71" s="806">
        <v>3</v>
      </c>
      <c r="B71" s="127" t="s">
        <v>1223</v>
      </c>
      <c r="C71" s="106">
        <v>2</v>
      </c>
      <c r="D71" s="106">
        <v>5</v>
      </c>
      <c r="E71" s="121">
        <v>170</v>
      </c>
      <c r="F71" s="127">
        <f t="shared" si="14"/>
        <v>1700</v>
      </c>
      <c r="G71" s="1428">
        <f>ROUND(F71*0.231,0)</f>
        <v>393</v>
      </c>
      <c r="H71" s="1432">
        <v>200</v>
      </c>
      <c r="I71" s="106"/>
      <c r="J71" s="106">
        <v>11</v>
      </c>
      <c r="K71" s="121">
        <v>150</v>
      </c>
      <c r="L71" s="127">
        <f>J71*K71</f>
        <v>1650</v>
      </c>
      <c r="M71" s="127"/>
      <c r="N71" s="127"/>
      <c r="O71" s="127"/>
      <c r="P71" s="124">
        <f>SUM(F71:H75,L71:L75)</f>
        <v>8255</v>
      </c>
      <c r="Q71" s="123"/>
      <c r="R71" s="1706" t="s">
        <v>282</v>
      </c>
      <c r="S71" s="903" t="s">
        <v>1225</v>
      </c>
      <c r="T71" s="139"/>
      <c r="U71" s="139"/>
    </row>
    <row r="72" spans="1:21" ht="12.75">
      <c r="A72" s="806"/>
      <c r="B72" s="121" t="s">
        <v>835</v>
      </c>
      <c r="C72" s="106">
        <v>2</v>
      </c>
      <c r="D72" s="106">
        <v>3</v>
      </c>
      <c r="E72" s="121">
        <v>150</v>
      </c>
      <c r="F72" s="127">
        <f t="shared" si="14"/>
        <v>900</v>
      </c>
      <c r="G72" s="1428">
        <f aca="true" t="shared" si="15" ref="G72:G78">ROUND(F72*0.231,0)</f>
        <v>208</v>
      </c>
      <c r="H72" s="1432"/>
      <c r="I72" s="106"/>
      <c r="J72" s="106"/>
      <c r="K72" s="121"/>
      <c r="L72" s="121"/>
      <c r="M72" s="121"/>
      <c r="N72" s="121"/>
      <c r="O72" s="121"/>
      <c r="P72" s="122"/>
      <c r="Q72" s="254"/>
      <c r="R72" s="1706"/>
      <c r="S72" s="903"/>
      <c r="T72" s="139"/>
      <c r="U72" s="139"/>
    </row>
    <row r="73" spans="1:21" ht="12.75">
      <c r="A73" s="806"/>
      <c r="B73" s="121" t="s">
        <v>691</v>
      </c>
      <c r="C73" s="106">
        <v>2</v>
      </c>
      <c r="D73" s="106">
        <v>2</v>
      </c>
      <c r="E73" s="121">
        <v>100</v>
      </c>
      <c r="F73" s="127">
        <f t="shared" si="14"/>
        <v>400</v>
      </c>
      <c r="G73" s="1428">
        <f t="shared" si="15"/>
        <v>92</v>
      </c>
      <c r="H73" s="1432"/>
      <c r="I73" s="106"/>
      <c r="J73" s="106"/>
      <c r="K73" s="121"/>
      <c r="L73" s="121"/>
      <c r="M73" s="121"/>
      <c r="N73" s="121"/>
      <c r="O73" s="121"/>
      <c r="P73" s="122"/>
      <c r="Q73" s="254"/>
      <c r="R73" s="1706"/>
      <c r="S73" s="903"/>
      <c r="T73" s="139"/>
      <c r="U73" s="139"/>
    </row>
    <row r="74" spans="1:21" ht="12.75">
      <c r="A74" s="806"/>
      <c r="B74" s="121" t="s">
        <v>1224</v>
      </c>
      <c r="C74" s="106">
        <v>2</v>
      </c>
      <c r="D74" s="106">
        <v>10</v>
      </c>
      <c r="E74" s="121">
        <v>33</v>
      </c>
      <c r="F74" s="127">
        <f t="shared" si="14"/>
        <v>660</v>
      </c>
      <c r="G74" s="1428">
        <f t="shared" si="15"/>
        <v>152</v>
      </c>
      <c r="H74" s="1432"/>
      <c r="I74" s="106"/>
      <c r="J74" s="106"/>
      <c r="K74" s="121"/>
      <c r="L74" s="121"/>
      <c r="M74" s="121"/>
      <c r="N74" s="121"/>
      <c r="O74" s="121"/>
      <c r="P74" s="122"/>
      <c r="Q74" s="254"/>
      <c r="R74" s="1706"/>
      <c r="S74" s="903"/>
      <c r="T74" s="139"/>
      <c r="U74" s="139"/>
    </row>
    <row r="75" spans="1:21" ht="12.75">
      <c r="A75" s="806"/>
      <c r="B75" s="105" t="s">
        <v>319</v>
      </c>
      <c r="C75" s="199"/>
      <c r="D75" s="97"/>
      <c r="E75" s="105"/>
      <c r="F75" s="98">
        <f t="shared" si="14"/>
        <v>0</v>
      </c>
      <c r="G75" s="1459">
        <f t="shared" si="15"/>
        <v>0</v>
      </c>
      <c r="H75" s="1434"/>
      <c r="I75" s="97">
        <v>1</v>
      </c>
      <c r="J75" s="97">
        <v>19</v>
      </c>
      <c r="K75" s="105">
        <v>100</v>
      </c>
      <c r="L75" s="105">
        <f>I75*J75*K75</f>
        <v>1900</v>
      </c>
      <c r="M75" s="105"/>
      <c r="N75" s="105"/>
      <c r="O75" s="105"/>
      <c r="P75" s="141"/>
      <c r="Q75" s="1183"/>
      <c r="R75" s="1727"/>
      <c r="S75" s="903"/>
      <c r="T75" s="139"/>
      <c r="U75" s="139"/>
    </row>
    <row r="76" spans="1:19" s="4" customFormat="1" ht="15" customHeight="1">
      <c r="A76" s="1006">
        <v>4</v>
      </c>
      <c r="B76" s="232" t="s">
        <v>1054</v>
      </c>
      <c r="C76" s="76">
        <v>25</v>
      </c>
      <c r="D76" s="76">
        <v>1</v>
      </c>
      <c r="E76" s="56">
        <v>150</v>
      </c>
      <c r="F76" s="56">
        <f t="shared" si="14"/>
        <v>3750</v>
      </c>
      <c r="G76" s="1425">
        <f>ROUND(F76*0.231,0)</f>
        <v>866</v>
      </c>
      <c r="H76" s="1441"/>
      <c r="I76" s="76"/>
      <c r="J76" s="76">
        <v>0</v>
      </c>
      <c r="K76" s="66"/>
      <c r="L76" s="56">
        <f>J76*K76</f>
        <v>0</v>
      </c>
      <c r="M76" s="56"/>
      <c r="N76" s="1204"/>
      <c r="O76" s="78"/>
      <c r="P76" s="86">
        <f>F76+L76+M76+N76+G76</f>
        <v>4616</v>
      </c>
      <c r="Q76" s="418"/>
      <c r="R76" s="1705"/>
      <c r="S76" s="1681"/>
    </row>
    <row r="77" spans="1:19" s="4" customFormat="1" ht="15" customHeight="1">
      <c r="A77" s="1359">
        <v>5</v>
      </c>
      <c r="B77" s="410" t="s">
        <v>1856</v>
      </c>
      <c r="C77" s="69">
        <v>35</v>
      </c>
      <c r="D77" s="69">
        <v>7</v>
      </c>
      <c r="E77" s="58">
        <v>150</v>
      </c>
      <c r="F77" s="84">
        <f t="shared" si="14"/>
        <v>36750</v>
      </c>
      <c r="G77" s="1425">
        <f>ROUND(F77*0.231,0)</f>
        <v>8489</v>
      </c>
      <c r="H77" s="1441"/>
      <c r="I77" s="69" t="s">
        <v>318</v>
      </c>
      <c r="J77" s="69">
        <v>25</v>
      </c>
      <c r="K77" s="56">
        <v>170</v>
      </c>
      <c r="L77" s="58">
        <f>J77*K77</f>
        <v>4250</v>
      </c>
      <c r="M77" s="58">
        <v>8640</v>
      </c>
      <c r="N77" s="72"/>
      <c r="O77" s="72"/>
      <c r="P77" s="77">
        <f>F77+L77+M77+N77+G77</f>
        <v>58129</v>
      </c>
      <c r="Q77" s="425"/>
      <c r="R77" s="1710"/>
      <c r="S77" s="1684" t="s">
        <v>676</v>
      </c>
    </row>
    <row r="78" spans="1:19" s="453" customFormat="1" ht="24" customHeight="1">
      <c r="A78" s="1006">
        <v>6</v>
      </c>
      <c r="B78" s="410" t="s">
        <v>859</v>
      </c>
      <c r="C78" s="92">
        <v>2</v>
      </c>
      <c r="D78" s="93">
        <v>15</v>
      </c>
      <c r="E78" s="114">
        <v>220</v>
      </c>
      <c r="F78" s="94">
        <f t="shared" si="14"/>
        <v>6600</v>
      </c>
      <c r="G78" s="1425">
        <f t="shared" si="15"/>
        <v>1525</v>
      </c>
      <c r="H78" s="231"/>
      <c r="I78" s="93"/>
      <c r="J78" s="93">
        <v>3</v>
      </c>
      <c r="K78" s="114">
        <v>150</v>
      </c>
      <c r="L78" s="94">
        <f>J41*K41</f>
        <v>0</v>
      </c>
      <c r="M78" s="114"/>
      <c r="N78" s="451"/>
      <c r="O78" s="451"/>
      <c r="P78" s="95">
        <f>F78+L78+M78+N78+G78</f>
        <v>8125</v>
      </c>
      <c r="Q78" s="1556" t="s">
        <v>541</v>
      </c>
      <c r="R78" s="1756"/>
      <c r="S78" s="1681"/>
    </row>
    <row r="79" spans="1:19" s="453" customFormat="1" ht="19.5" customHeight="1">
      <c r="A79" s="1343">
        <v>7</v>
      </c>
      <c r="B79" s="410" t="s">
        <v>662</v>
      </c>
      <c r="C79" s="69"/>
      <c r="D79" s="69"/>
      <c r="E79" s="58"/>
      <c r="F79" s="58"/>
      <c r="G79" s="1425">
        <f>ROUND(F79*0.231,0)</f>
        <v>0</v>
      </c>
      <c r="H79" s="1434"/>
      <c r="I79" s="69"/>
      <c r="J79" s="69"/>
      <c r="K79" s="58"/>
      <c r="L79" s="58"/>
      <c r="M79" s="58"/>
      <c r="N79" s="75">
        <v>2000</v>
      </c>
      <c r="O79" s="75"/>
      <c r="P79" s="84">
        <f>SUM(N79)</f>
        <v>2000</v>
      </c>
      <c r="Q79" s="423"/>
      <c r="R79" s="1705"/>
      <c r="S79" s="1681"/>
    </row>
    <row r="80" spans="1:20" ht="12.75">
      <c r="A80" s="1356">
        <v>8</v>
      </c>
      <c r="B80" s="104" t="s">
        <v>693</v>
      </c>
      <c r="C80" s="85">
        <v>1</v>
      </c>
      <c r="D80" s="85">
        <v>3</v>
      </c>
      <c r="E80" s="104">
        <v>100</v>
      </c>
      <c r="F80" s="104">
        <f>C80*D80*E80</f>
        <v>300</v>
      </c>
      <c r="G80" s="1339">
        <f>F80*0.231</f>
        <v>69</v>
      </c>
      <c r="H80" s="1445"/>
      <c r="I80" s="1311"/>
      <c r="J80" s="85">
        <v>5</v>
      </c>
      <c r="K80" s="104">
        <v>150</v>
      </c>
      <c r="L80" s="104">
        <f>J80*K80</f>
        <v>750</v>
      </c>
      <c r="M80" s="104"/>
      <c r="N80" s="104"/>
      <c r="O80" s="104"/>
      <c r="P80" s="216">
        <f>F80+L80+G80</f>
        <v>1119</v>
      </c>
      <c r="Q80" s="1299" t="s">
        <v>1084</v>
      </c>
      <c r="R80" s="1728"/>
      <c r="S80" s="1683"/>
      <c r="T80" s="39"/>
    </row>
    <row r="81" spans="1:19" s="340" customFormat="1" ht="24.75" customHeight="1" thickBot="1">
      <c r="A81" s="1349">
        <v>9</v>
      </c>
      <c r="B81" s="1179" t="s">
        <v>694</v>
      </c>
      <c r="C81" s="327">
        <v>1</v>
      </c>
      <c r="D81" s="327">
        <v>2</v>
      </c>
      <c r="E81" s="261">
        <v>130</v>
      </c>
      <c r="F81" s="105">
        <f>C81*D81*E81</f>
        <v>260</v>
      </c>
      <c r="G81" s="1313">
        <f>F81*0.231</f>
        <v>60</v>
      </c>
      <c r="H81" s="1446"/>
      <c r="I81" s="1180"/>
      <c r="J81" s="327">
        <v>4</v>
      </c>
      <c r="K81" s="261">
        <v>150</v>
      </c>
      <c r="L81" s="261">
        <f>J81*K81</f>
        <v>600</v>
      </c>
      <c r="M81" s="261"/>
      <c r="N81" s="261"/>
      <c r="O81" s="261"/>
      <c r="P81" s="328">
        <f>F81+L81+G81</f>
        <v>920</v>
      </c>
      <c r="Q81" s="1300"/>
      <c r="R81" s="1729"/>
      <c r="S81" s="1688"/>
    </row>
    <row r="82" spans="1:19" s="139" customFormat="1" ht="12">
      <c r="A82" s="1345">
        <v>10</v>
      </c>
      <c r="B82" s="105" t="s">
        <v>617</v>
      </c>
      <c r="C82" s="97">
        <v>2</v>
      </c>
      <c r="D82" s="97">
        <v>1</v>
      </c>
      <c r="E82" s="105">
        <v>150</v>
      </c>
      <c r="F82" s="98">
        <f>C82*D82*E82</f>
        <v>300</v>
      </c>
      <c r="G82" s="1183">
        <f>F82*0.226</f>
        <v>68</v>
      </c>
      <c r="H82" s="1447"/>
      <c r="I82" s="142"/>
      <c r="J82" s="97">
        <v>14</v>
      </c>
      <c r="K82" s="105">
        <v>150</v>
      </c>
      <c r="L82" s="98">
        <f>J82*K82</f>
        <v>2100</v>
      </c>
      <c r="M82" s="105"/>
      <c r="N82" s="105"/>
      <c r="O82" s="105"/>
      <c r="P82" s="141">
        <f>L82+F82+G82</f>
        <v>2468</v>
      </c>
      <c r="Q82" s="1302" t="s">
        <v>1085</v>
      </c>
      <c r="R82" s="1721"/>
      <c r="S82" s="1682"/>
    </row>
    <row r="83" spans="1:19" s="139" customFormat="1" ht="12.75" thickBot="1">
      <c r="A83" s="806">
        <v>11</v>
      </c>
      <c r="B83" s="96" t="s">
        <v>618</v>
      </c>
      <c r="C83" s="85">
        <v>1</v>
      </c>
      <c r="D83" s="85">
        <v>1</v>
      </c>
      <c r="E83" s="104">
        <v>150</v>
      </c>
      <c r="F83" s="104">
        <f>C83*D83*E83</f>
        <v>150</v>
      </c>
      <c r="G83" s="1430">
        <f>F83*0.226</f>
        <v>34</v>
      </c>
      <c r="H83" s="1447"/>
      <c r="I83" s="1184"/>
      <c r="J83" s="85">
        <v>6</v>
      </c>
      <c r="K83" s="104">
        <v>150</v>
      </c>
      <c r="L83" s="96">
        <f>J83*K83</f>
        <v>900</v>
      </c>
      <c r="M83" s="104"/>
      <c r="N83" s="104"/>
      <c r="O83" s="104"/>
      <c r="P83" s="216">
        <f>L83+F83+G83</f>
        <v>1084</v>
      </c>
      <c r="Q83" s="1303"/>
      <c r="R83" s="1730"/>
      <c r="S83" s="1682"/>
    </row>
    <row r="84" spans="1:21" s="732" customFormat="1" ht="12.75" customHeight="1" thickBot="1">
      <c r="A84" s="1351"/>
      <c r="B84" s="693" t="s">
        <v>1783</v>
      </c>
      <c r="C84" s="696"/>
      <c r="D84" s="696"/>
      <c r="E84" s="697"/>
      <c r="F84" s="731">
        <f aca="true" t="shared" si="16" ref="F84:O84">SUM(F65:F83)</f>
        <v>67672</v>
      </c>
      <c r="G84" s="731">
        <f t="shared" si="16"/>
        <v>15630</v>
      </c>
      <c r="H84" s="731">
        <f t="shared" si="16"/>
        <v>3800</v>
      </c>
      <c r="I84" s="731"/>
      <c r="J84" s="731"/>
      <c r="K84" s="731"/>
      <c r="L84" s="731">
        <f t="shared" si="16"/>
        <v>19950</v>
      </c>
      <c r="M84" s="731">
        <f t="shared" si="16"/>
        <v>9660</v>
      </c>
      <c r="N84" s="731">
        <f t="shared" si="16"/>
        <v>2000</v>
      </c>
      <c r="O84" s="731">
        <f t="shared" si="16"/>
        <v>0</v>
      </c>
      <c r="P84" s="731">
        <f>SUM(P65:P83)</f>
        <v>118712</v>
      </c>
      <c r="Q84" s="731">
        <f>SUM(Q71:Q83)</f>
        <v>0</v>
      </c>
      <c r="R84" s="1719"/>
      <c r="S84" s="1422" t="s">
        <v>318</v>
      </c>
      <c r="T84" s="764">
        <f>SUM(F84:O84)</f>
        <v>118712</v>
      </c>
      <c r="U84" s="739"/>
    </row>
    <row r="85" spans="1:21" ht="13.5" customHeight="1">
      <c r="A85" s="806" t="s">
        <v>318</v>
      </c>
      <c r="B85" s="135" t="s">
        <v>1149</v>
      </c>
      <c r="C85" s="106"/>
      <c r="D85" s="106"/>
      <c r="E85" s="121"/>
      <c r="F85" s="121"/>
      <c r="G85" s="1428"/>
      <c r="H85" s="1432"/>
      <c r="I85" s="106"/>
      <c r="J85" s="106"/>
      <c r="K85" s="121"/>
      <c r="L85" s="121"/>
      <c r="M85" s="121"/>
      <c r="N85" s="121"/>
      <c r="O85" s="121"/>
      <c r="P85" s="121"/>
      <c r="Q85" s="106"/>
      <c r="R85" s="1707"/>
      <c r="S85" s="903"/>
      <c r="T85" s="139"/>
      <c r="U85" s="139"/>
    </row>
    <row r="86" spans="1:21" ht="15.75" customHeight="1">
      <c r="A86" s="806">
        <v>1</v>
      </c>
      <c r="B86" s="121" t="s">
        <v>1467</v>
      </c>
      <c r="C86" s="106">
        <v>2</v>
      </c>
      <c r="D86" s="106">
        <v>3</v>
      </c>
      <c r="E86" s="121">
        <v>170</v>
      </c>
      <c r="F86" s="121">
        <f aca="true" t="shared" si="17" ref="F86:F92">C86*D86*E86</f>
        <v>1020</v>
      </c>
      <c r="G86" s="1428">
        <f>ROUND(F86*0.231,0)</f>
        <v>236</v>
      </c>
      <c r="H86" s="1432"/>
      <c r="I86" s="106"/>
      <c r="J86" s="106">
        <v>54</v>
      </c>
      <c r="K86" s="121">
        <v>150</v>
      </c>
      <c r="L86" s="121">
        <f>J86*K86</f>
        <v>8100</v>
      </c>
      <c r="M86" s="121" t="s">
        <v>318</v>
      </c>
      <c r="N86" s="121"/>
      <c r="O86" s="121"/>
      <c r="P86" s="122">
        <f>SUM(L86:M89,F86:G89)</f>
        <v>14399</v>
      </c>
      <c r="Q86" s="123"/>
      <c r="R86" s="1706" t="s">
        <v>1362</v>
      </c>
      <c r="S86" s="903" t="s">
        <v>1469</v>
      </c>
      <c r="T86" s="139"/>
      <c r="U86" s="139"/>
    </row>
    <row r="87" spans="1:21" ht="12.75">
      <c r="A87" s="806"/>
      <c r="B87" s="121" t="s">
        <v>1468</v>
      </c>
      <c r="C87" s="106">
        <v>8</v>
      </c>
      <c r="D87" s="106">
        <v>1</v>
      </c>
      <c r="E87" s="121">
        <v>170</v>
      </c>
      <c r="F87" s="121">
        <f t="shared" si="17"/>
        <v>1360</v>
      </c>
      <c r="G87" s="1428">
        <f aca="true" t="shared" si="18" ref="G87:G92">ROUND(F87*0.231,0)</f>
        <v>314</v>
      </c>
      <c r="H87" s="1432"/>
      <c r="I87" s="106"/>
      <c r="J87" s="106"/>
      <c r="K87" s="121"/>
      <c r="L87" s="121"/>
      <c r="M87" s="121"/>
      <c r="N87" s="121"/>
      <c r="O87" s="121"/>
      <c r="P87" s="122"/>
      <c r="Q87" s="123"/>
      <c r="R87" s="1706"/>
      <c r="S87" s="903"/>
      <c r="T87" s="139"/>
      <c r="U87" s="139"/>
    </row>
    <row r="88" spans="1:21" ht="12.75">
      <c r="A88" s="806"/>
      <c r="B88" s="121" t="s">
        <v>835</v>
      </c>
      <c r="C88" s="106">
        <v>3</v>
      </c>
      <c r="D88" s="106">
        <v>1</v>
      </c>
      <c r="E88" s="121">
        <v>100</v>
      </c>
      <c r="F88" s="127">
        <f t="shared" si="17"/>
        <v>300</v>
      </c>
      <c r="G88" s="1428">
        <f t="shared" si="18"/>
        <v>69</v>
      </c>
      <c r="H88" s="1432"/>
      <c r="I88" s="106"/>
      <c r="J88" s="106"/>
      <c r="K88" s="121"/>
      <c r="L88" s="121"/>
      <c r="M88" s="121"/>
      <c r="N88" s="121"/>
      <c r="O88" s="121"/>
      <c r="P88" s="122"/>
      <c r="Q88" s="123"/>
      <c r="R88" s="1810"/>
      <c r="S88" s="903"/>
      <c r="T88" s="139"/>
      <c r="U88" s="139"/>
    </row>
    <row r="89" spans="1:21" ht="14.25" customHeight="1">
      <c r="A89" s="1345"/>
      <c r="B89" s="105" t="s">
        <v>319</v>
      </c>
      <c r="C89" s="97"/>
      <c r="D89" s="97"/>
      <c r="E89" s="105"/>
      <c r="F89" s="98">
        <f t="shared" si="17"/>
        <v>0</v>
      </c>
      <c r="G89" s="1428">
        <f t="shared" si="18"/>
        <v>0</v>
      </c>
      <c r="H89" s="1434"/>
      <c r="I89" s="97">
        <v>2</v>
      </c>
      <c r="J89" s="97">
        <v>15</v>
      </c>
      <c r="K89" s="105">
        <v>100</v>
      </c>
      <c r="L89" s="105">
        <f>I89*J89*K89</f>
        <v>3000</v>
      </c>
      <c r="M89" s="105"/>
      <c r="N89" s="105"/>
      <c r="O89" s="105"/>
      <c r="P89" s="105"/>
      <c r="Q89" s="199"/>
      <c r="R89" s="1811"/>
      <c r="S89" s="903"/>
      <c r="T89" s="139"/>
      <c r="U89" s="139"/>
    </row>
    <row r="90" spans="1:21" ht="12.75">
      <c r="A90" s="806">
        <v>2</v>
      </c>
      <c r="B90" s="121" t="s">
        <v>1470</v>
      </c>
      <c r="C90" s="106">
        <v>12</v>
      </c>
      <c r="D90" s="106">
        <v>1</v>
      </c>
      <c r="E90" s="121">
        <v>170</v>
      </c>
      <c r="F90" s="127">
        <f t="shared" si="17"/>
        <v>2040</v>
      </c>
      <c r="G90" s="1426">
        <f t="shared" si="18"/>
        <v>471</v>
      </c>
      <c r="H90" s="1432"/>
      <c r="I90" s="106"/>
      <c r="J90" s="106">
        <v>42</v>
      </c>
      <c r="K90" s="121">
        <v>150</v>
      </c>
      <c r="L90" s="203">
        <f>J90*K90</f>
        <v>6300</v>
      </c>
      <c r="M90" s="121"/>
      <c r="N90" s="121"/>
      <c r="O90" s="121"/>
      <c r="P90" s="121">
        <f>SUM(F90:G93,L90:L93)</f>
        <v>16210</v>
      </c>
      <c r="Q90" s="106"/>
      <c r="R90" s="1707"/>
      <c r="S90" s="903"/>
      <c r="T90" s="139"/>
      <c r="U90" s="139"/>
    </row>
    <row r="91" spans="1:21" ht="12.75">
      <c r="A91" s="806"/>
      <c r="B91" s="121" t="s">
        <v>1471</v>
      </c>
      <c r="C91" s="106">
        <v>2</v>
      </c>
      <c r="D91" s="106">
        <v>3</v>
      </c>
      <c r="E91" s="121">
        <v>170</v>
      </c>
      <c r="F91" s="127">
        <f t="shared" si="17"/>
        <v>1020</v>
      </c>
      <c r="G91" s="1428">
        <f t="shared" si="18"/>
        <v>236</v>
      </c>
      <c r="H91" s="1432"/>
      <c r="I91" s="106"/>
      <c r="J91" s="106"/>
      <c r="K91" s="121"/>
      <c r="L91" s="127">
        <f>J91*K91</f>
        <v>0</v>
      </c>
      <c r="M91" s="121"/>
      <c r="N91" s="121"/>
      <c r="O91" s="121"/>
      <c r="P91" s="121"/>
      <c r="Q91" s="106"/>
      <c r="R91" s="1707"/>
      <c r="S91" s="903"/>
      <c r="T91" s="139"/>
      <c r="U91" s="139"/>
    </row>
    <row r="92" spans="1:21" ht="12.75">
      <c r="A92" s="806"/>
      <c r="B92" s="121" t="s">
        <v>1420</v>
      </c>
      <c r="C92" s="106">
        <v>2</v>
      </c>
      <c r="D92" s="106">
        <v>6</v>
      </c>
      <c r="E92" s="121">
        <v>30</v>
      </c>
      <c r="F92" s="127">
        <f t="shared" si="17"/>
        <v>360</v>
      </c>
      <c r="G92" s="1428">
        <f t="shared" si="18"/>
        <v>83</v>
      </c>
      <c r="H92" s="1432"/>
      <c r="I92" s="106"/>
      <c r="J92" s="106"/>
      <c r="K92" s="121"/>
      <c r="L92" s="127">
        <f>J92*K92</f>
        <v>0</v>
      </c>
      <c r="M92" s="121"/>
      <c r="N92" s="121"/>
      <c r="O92" s="121"/>
      <c r="P92" s="121"/>
      <c r="Q92" s="106"/>
      <c r="R92" s="1707"/>
      <c r="S92" s="903"/>
      <c r="T92" s="139"/>
      <c r="U92" s="139"/>
    </row>
    <row r="93" spans="1:21" ht="12.75">
      <c r="A93" s="806"/>
      <c r="B93" s="127" t="s">
        <v>319</v>
      </c>
      <c r="C93" s="106"/>
      <c r="D93" s="106"/>
      <c r="E93" s="121"/>
      <c r="F93" s="127"/>
      <c r="G93" s="1428"/>
      <c r="H93" s="1432"/>
      <c r="I93" s="106">
        <v>2</v>
      </c>
      <c r="J93" s="106">
        <v>19</v>
      </c>
      <c r="K93" s="121">
        <v>150</v>
      </c>
      <c r="L93" s="127">
        <f>J93*K93*I93</f>
        <v>5700</v>
      </c>
      <c r="M93" s="121"/>
      <c r="N93" s="121"/>
      <c r="O93" s="121"/>
      <c r="P93" s="121"/>
      <c r="Q93" s="97"/>
      <c r="R93" s="1713"/>
      <c r="S93" s="903"/>
      <c r="T93" s="139"/>
      <c r="U93" s="139"/>
    </row>
    <row r="94" spans="1:19" s="4" customFormat="1" ht="15" customHeight="1">
      <c r="A94" s="1006">
        <v>3</v>
      </c>
      <c r="B94" s="232" t="s">
        <v>1373</v>
      </c>
      <c r="C94" s="76">
        <v>22</v>
      </c>
      <c r="D94" s="76">
        <v>1</v>
      </c>
      <c r="E94" s="56">
        <v>150</v>
      </c>
      <c r="F94" s="61">
        <f>C94*D94*E94</f>
        <v>3300</v>
      </c>
      <c r="G94" s="1429">
        <f>ROUND(F94*0.231,0)</f>
        <v>762</v>
      </c>
      <c r="H94" s="1441"/>
      <c r="I94" s="76"/>
      <c r="J94" s="76">
        <v>40</v>
      </c>
      <c r="K94" s="56">
        <v>150</v>
      </c>
      <c r="L94" s="56">
        <f>J94*K94</f>
        <v>6000</v>
      </c>
      <c r="M94" s="76"/>
      <c r="N94" s="1204"/>
      <c r="O94" s="78"/>
      <c r="P94" s="86">
        <f>SUM(F94:G94,L94:N94)</f>
        <v>10062</v>
      </c>
      <c r="Q94" s="425" t="s">
        <v>541</v>
      </c>
      <c r="R94" s="1705"/>
      <c r="S94" s="1681"/>
    </row>
    <row r="95" spans="1:19" s="4" customFormat="1" ht="23.25" customHeight="1">
      <c r="A95" s="1006">
        <v>4</v>
      </c>
      <c r="B95" s="232" t="s">
        <v>442</v>
      </c>
      <c r="C95" s="93">
        <v>16</v>
      </c>
      <c r="D95" s="93">
        <v>1</v>
      </c>
      <c r="E95" s="93">
        <v>170</v>
      </c>
      <c r="F95" s="95">
        <f>C95*D95*E95</f>
        <v>2720</v>
      </c>
      <c r="G95" s="1429">
        <f>ROUND(F95*0.231,0)</f>
        <v>628</v>
      </c>
      <c r="H95" s="1441">
        <v>1542</v>
      </c>
      <c r="I95" s="93"/>
      <c r="J95" s="93">
        <v>26</v>
      </c>
      <c r="K95" s="93">
        <v>150</v>
      </c>
      <c r="L95" s="94">
        <f>J95*K95</f>
        <v>3900</v>
      </c>
      <c r="M95" s="93"/>
      <c r="N95" s="1207">
        <v>0</v>
      </c>
      <c r="O95" s="451"/>
      <c r="P95" s="452">
        <f>F95+L95+M95+N95+G95+H95</f>
        <v>8790</v>
      </c>
      <c r="Q95" s="1890"/>
      <c r="R95" s="1705"/>
      <c r="S95" s="1681"/>
    </row>
    <row r="96" spans="1:19" s="453" customFormat="1" ht="21" customHeight="1">
      <c r="A96" s="1006">
        <v>5</v>
      </c>
      <c r="B96" s="232" t="s">
        <v>663</v>
      </c>
      <c r="C96" s="85"/>
      <c r="D96" s="85"/>
      <c r="E96" s="56"/>
      <c r="F96" s="61"/>
      <c r="G96" s="1429"/>
      <c r="H96" s="1441"/>
      <c r="I96" s="76"/>
      <c r="J96" s="76"/>
      <c r="K96" s="56"/>
      <c r="L96" s="61"/>
      <c r="M96" s="56"/>
      <c r="N96" s="78">
        <v>6000</v>
      </c>
      <c r="O96" s="78"/>
      <c r="P96" s="61">
        <f>F96+L96+M96+N96+G96</f>
        <v>6000</v>
      </c>
      <c r="Q96" s="1891"/>
      <c r="R96" s="1710"/>
      <c r="S96" s="1684" t="s">
        <v>1599</v>
      </c>
    </row>
    <row r="97" spans="1:19" s="453" customFormat="1" ht="21" customHeight="1">
      <c r="A97" s="1359">
        <v>6</v>
      </c>
      <c r="B97" s="410" t="s">
        <v>213</v>
      </c>
      <c r="C97" s="352">
        <v>3</v>
      </c>
      <c r="D97" s="352">
        <v>4</v>
      </c>
      <c r="E97" s="353">
        <v>180</v>
      </c>
      <c r="F97" s="169">
        <f>C97*D97*E97</f>
        <v>2160</v>
      </c>
      <c r="G97" s="1425">
        <f>ROUND(F97*0.231,0)</f>
        <v>499</v>
      </c>
      <c r="H97" s="1434"/>
      <c r="I97" s="352"/>
      <c r="J97" s="352">
        <v>2</v>
      </c>
      <c r="K97" s="353">
        <v>250</v>
      </c>
      <c r="L97" s="353">
        <f>J97*K97</f>
        <v>500</v>
      </c>
      <c r="M97" s="353"/>
      <c r="N97" s="1205"/>
      <c r="O97" s="1205"/>
      <c r="P97" s="95">
        <f>F97+L97+M97+N97+G97</f>
        <v>3159</v>
      </c>
      <c r="Q97" s="1892" t="s">
        <v>541</v>
      </c>
      <c r="R97" s="1731"/>
      <c r="S97" s="1681"/>
    </row>
    <row r="98" spans="1:19" s="453" customFormat="1" ht="23.25" customHeight="1" thickBot="1">
      <c r="A98" s="1028">
        <v>7</v>
      </c>
      <c r="B98" s="232" t="s">
        <v>1019</v>
      </c>
      <c r="C98" s="93">
        <v>2</v>
      </c>
      <c r="D98" s="93">
        <v>2</v>
      </c>
      <c r="E98" s="114">
        <v>250</v>
      </c>
      <c r="F98" s="114">
        <f>C98*D98*E98</f>
        <v>1000</v>
      </c>
      <c r="G98" s="676">
        <f>ROUND(F98*0.231,0)</f>
        <v>231</v>
      </c>
      <c r="H98" s="430"/>
      <c r="I98" s="93"/>
      <c r="J98" s="93">
        <v>3</v>
      </c>
      <c r="K98" s="114">
        <v>150</v>
      </c>
      <c r="L98" s="114">
        <f>J98*K98</f>
        <v>450</v>
      </c>
      <c r="M98" s="114"/>
      <c r="N98" s="451"/>
      <c r="O98" s="451"/>
      <c r="P98" s="452">
        <f>F98+L98+M98+N98+G98</f>
        <v>1681</v>
      </c>
      <c r="Q98" s="1893"/>
      <c r="R98" s="1731"/>
      <c r="S98" s="1681"/>
    </row>
    <row r="99" spans="1:19" s="35" customFormat="1" ht="12.75" customHeight="1">
      <c r="A99" s="1356">
        <v>8</v>
      </c>
      <c r="B99" s="104" t="s">
        <v>602</v>
      </c>
      <c r="C99" s="85"/>
      <c r="D99" s="85"/>
      <c r="E99" s="104"/>
      <c r="F99" s="104"/>
      <c r="G99" s="1311"/>
      <c r="H99" s="1445"/>
      <c r="I99" s="1311"/>
      <c r="J99" s="85">
        <v>4</v>
      </c>
      <c r="K99" s="104">
        <v>161</v>
      </c>
      <c r="L99" s="104">
        <f>J99*K99</f>
        <v>644</v>
      </c>
      <c r="M99" s="104"/>
      <c r="N99" s="104"/>
      <c r="O99" s="104"/>
      <c r="P99" s="216">
        <f>SUM(F99:G99,L99)</f>
        <v>644</v>
      </c>
      <c r="Q99" s="413" t="s">
        <v>1084</v>
      </c>
      <c r="R99" s="1715"/>
      <c r="S99" s="1689"/>
    </row>
    <row r="100" spans="1:21" s="268" customFormat="1" ht="36.75" thickBot="1">
      <c r="A100" s="1352">
        <v>9</v>
      </c>
      <c r="B100" s="242" t="s">
        <v>1460</v>
      </c>
      <c r="C100" s="190"/>
      <c r="D100" s="190"/>
      <c r="E100" s="242"/>
      <c r="F100" s="242"/>
      <c r="G100" s="1428"/>
      <c r="H100" s="1432"/>
      <c r="I100" s="190"/>
      <c r="J100" s="190">
        <v>20</v>
      </c>
      <c r="K100" s="242">
        <v>150</v>
      </c>
      <c r="L100" s="242">
        <f>J100*K100</f>
        <v>3000</v>
      </c>
      <c r="M100" s="105"/>
      <c r="N100" s="121"/>
      <c r="O100" s="121"/>
      <c r="P100" s="242">
        <f>F100+L100</f>
        <v>3000</v>
      </c>
      <c r="Q100" s="190"/>
      <c r="R100" s="1679" t="s">
        <v>1362</v>
      </c>
      <c r="S100" s="1173"/>
      <c r="T100" s="189"/>
      <c r="U100" s="189"/>
    </row>
    <row r="101" spans="1:22" s="732" customFormat="1" ht="12.75" customHeight="1" thickBot="1">
      <c r="A101" s="1344"/>
      <c r="B101" s="697" t="s">
        <v>1783</v>
      </c>
      <c r="C101" s="696"/>
      <c r="D101" s="696"/>
      <c r="E101" s="697"/>
      <c r="F101" s="731">
        <f aca="true" t="shared" si="19" ref="F101:O101">SUM(F86:F100)</f>
        <v>15280</v>
      </c>
      <c r="G101" s="731">
        <f t="shared" si="19"/>
        <v>3529</v>
      </c>
      <c r="H101" s="731">
        <f t="shared" si="19"/>
        <v>1542</v>
      </c>
      <c r="I101" s="731"/>
      <c r="J101" s="731"/>
      <c r="K101" s="731"/>
      <c r="L101" s="731">
        <f t="shared" si="19"/>
        <v>37594</v>
      </c>
      <c r="M101" s="731">
        <f t="shared" si="19"/>
        <v>0</v>
      </c>
      <c r="N101" s="731">
        <f t="shared" si="19"/>
        <v>6000</v>
      </c>
      <c r="O101" s="731">
        <f t="shared" si="19"/>
        <v>0</v>
      </c>
      <c r="P101" s="731">
        <f>SUM(P86:P100)</f>
        <v>63945</v>
      </c>
      <c r="Q101" s="731">
        <f>SUM(Q86:Q100)</f>
        <v>0</v>
      </c>
      <c r="R101" s="1719">
        <f>SUM(R96:R99)</f>
        <v>0</v>
      </c>
      <c r="S101" s="1690"/>
      <c r="T101" s="1653">
        <f>SUM(F101:O101)</f>
        <v>63945</v>
      </c>
      <c r="U101" s="764">
        <f>SUM(F101:M101)</f>
        <v>57945</v>
      </c>
      <c r="V101" s="739"/>
    </row>
    <row r="102" spans="1:20" s="31" customFormat="1" ht="13.5" thickBot="1">
      <c r="A102" s="1395" t="s">
        <v>318</v>
      </c>
      <c r="B102" s="1396" t="s">
        <v>1150</v>
      </c>
      <c r="C102" s="517"/>
      <c r="D102" s="517"/>
      <c r="E102" s="65"/>
      <c r="F102" s="65"/>
      <c r="G102" s="1397"/>
      <c r="H102" s="1448"/>
      <c r="I102" s="1397"/>
      <c r="J102" s="517"/>
      <c r="K102" s="65"/>
      <c r="L102" s="91"/>
      <c r="M102" s="65"/>
      <c r="N102" s="65"/>
      <c r="O102" s="65"/>
      <c r="P102" s="65"/>
      <c r="Q102" s="467"/>
      <c r="R102" s="1732"/>
      <c r="S102" s="1685"/>
      <c r="T102" s="1653"/>
    </row>
    <row r="103" spans="1:20" s="31" customFormat="1" ht="12.75" customHeight="1" thickBot="1">
      <c r="A103" s="1343">
        <v>1</v>
      </c>
      <c r="B103" s="1419" t="s">
        <v>175</v>
      </c>
      <c r="C103" s="28"/>
      <c r="D103" s="28"/>
      <c r="E103" s="28"/>
      <c r="F103" s="59">
        <f>SUM(F104:F110)</f>
        <v>9440</v>
      </c>
      <c r="G103" s="28">
        <f>SUM(G104:G110)</f>
        <v>2182</v>
      </c>
      <c r="H103" s="1449"/>
      <c r="I103" s="100"/>
      <c r="J103" s="28"/>
      <c r="K103" s="66"/>
      <c r="L103" s="28">
        <f>SUM(L104:L110)</f>
        <v>11850</v>
      </c>
      <c r="M103" s="59"/>
      <c r="N103" s="28"/>
      <c r="O103" s="59">
        <f>SUM(O104:O110)</f>
        <v>7000</v>
      </c>
      <c r="P103" s="28">
        <f>SUM(F103:O103)</f>
        <v>30472</v>
      </c>
      <c r="Q103" s="1501"/>
      <c r="R103" s="1733" t="s">
        <v>318</v>
      </c>
      <c r="S103" s="1691">
        <f>SUM(F103:N103)</f>
        <v>23472</v>
      </c>
      <c r="T103" s="1653"/>
    </row>
    <row r="104" spans="1:22" s="31" customFormat="1" ht="20.25" customHeight="1">
      <c r="A104" s="1359" t="s">
        <v>318</v>
      </c>
      <c r="B104" s="374" t="s">
        <v>225</v>
      </c>
      <c r="C104" s="70">
        <v>5</v>
      </c>
      <c r="D104" s="69">
        <v>3</v>
      </c>
      <c r="E104" s="58">
        <v>70</v>
      </c>
      <c r="F104" s="60">
        <f>C104*D104*E104</f>
        <v>1050</v>
      </c>
      <c r="G104" s="70">
        <f aca="true" t="shared" si="20" ref="G104:G110">ROUND(F104*0.231,0)</f>
        <v>243</v>
      </c>
      <c r="H104" s="229"/>
      <c r="I104" s="69"/>
      <c r="J104" s="69">
        <v>9</v>
      </c>
      <c r="K104" s="58">
        <v>150</v>
      </c>
      <c r="L104" s="60">
        <f aca="true" t="shared" si="21" ref="L104:L110">J104*K104</f>
        <v>1350</v>
      </c>
      <c r="M104" s="60"/>
      <c r="N104" s="60"/>
      <c r="O104" s="60"/>
      <c r="P104" s="60"/>
      <c r="Q104" s="77">
        <f>F104+L104+M104+N104+G104</f>
        <v>2643</v>
      </c>
      <c r="R104" s="1717"/>
      <c r="S104" s="1692"/>
      <c r="T104" s="1653"/>
      <c r="U104" s="28"/>
      <c r="V104" s="28"/>
    </row>
    <row r="105" spans="1:22" s="31" customFormat="1" ht="12.75" customHeight="1">
      <c r="A105" s="1359" t="s">
        <v>318</v>
      </c>
      <c r="B105" s="232" t="s">
        <v>226</v>
      </c>
      <c r="C105" s="102">
        <v>22</v>
      </c>
      <c r="D105" s="76">
        <v>1</v>
      </c>
      <c r="E105" s="58">
        <v>120</v>
      </c>
      <c r="F105" s="77">
        <f>C105*D105*E105</f>
        <v>2640</v>
      </c>
      <c r="G105" s="70">
        <f t="shared" si="20"/>
        <v>610</v>
      </c>
      <c r="H105" s="229"/>
      <c r="I105" s="76"/>
      <c r="J105" s="76">
        <v>30</v>
      </c>
      <c r="K105" s="56">
        <v>150</v>
      </c>
      <c r="L105" s="61">
        <f t="shared" si="21"/>
        <v>4500</v>
      </c>
      <c r="M105" s="61"/>
      <c r="N105" s="61"/>
      <c r="O105" s="61"/>
      <c r="P105" s="61"/>
      <c r="Q105" s="77">
        <f>F105+L105+M105+N105+G105</f>
        <v>7750</v>
      </c>
      <c r="R105" s="1717"/>
      <c r="S105" s="1692"/>
      <c r="T105" s="1653"/>
      <c r="U105" s="28"/>
      <c r="V105" s="28"/>
    </row>
    <row r="106" spans="1:22" s="31" customFormat="1" ht="14.25" customHeight="1">
      <c r="A106" s="1359" t="s">
        <v>318</v>
      </c>
      <c r="B106" s="232" t="s">
        <v>591</v>
      </c>
      <c r="C106" s="102">
        <v>11</v>
      </c>
      <c r="D106" s="76">
        <v>2</v>
      </c>
      <c r="E106" s="58">
        <v>170</v>
      </c>
      <c r="F106" s="61">
        <f>C106*D106*E106</f>
        <v>3740</v>
      </c>
      <c r="G106" s="70">
        <f t="shared" si="20"/>
        <v>864</v>
      </c>
      <c r="H106" s="229"/>
      <c r="I106" s="76"/>
      <c r="J106" s="76">
        <v>12</v>
      </c>
      <c r="K106" s="56">
        <v>150</v>
      </c>
      <c r="L106" s="61">
        <f t="shared" si="21"/>
        <v>1800</v>
      </c>
      <c r="M106" s="61"/>
      <c r="N106" s="61"/>
      <c r="O106" s="61"/>
      <c r="P106" s="61"/>
      <c r="Q106" s="77">
        <f>F106+L106+M106+N106+G106</f>
        <v>6404</v>
      </c>
      <c r="R106" s="1717"/>
      <c r="S106" s="1692"/>
      <c r="T106" s="1653"/>
      <c r="U106" s="28"/>
      <c r="V106" s="28"/>
    </row>
    <row r="107" spans="1:22" s="164" customFormat="1" ht="24">
      <c r="A107" s="1006" t="s">
        <v>318</v>
      </c>
      <c r="B107" s="232" t="s">
        <v>227</v>
      </c>
      <c r="C107" s="1209"/>
      <c r="D107" s="352"/>
      <c r="E107" s="353"/>
      <c r="F107" s="354"/>
      <c r="G107" s="70">
        <f t="shared" si="20"/>
        <v>0</v>
      </c>
      <c r="H107" s="229"/>
      <c r="I107" s="352"/>
      <c r="J107" s="352">
        <v>8</v>
      </c>
      <c r="K107" s="353">
        <v>150</v>
      </c>
      <c r="L107" s="354">
        <f t="shared" si="21"/>
        <v>1200</v>
      </c>
      <c r="M107" s="354"/>
      <c r="N107" s="354" t="s">
        <v>318</v>
      </c>
      <c r="O107" s="354">
        <v>7000</v>
      </c>
      <c r="P107" s="354"/>
      <c r="Q107" s="355">
        <f>F107+L107+M107+G107+P107</f>
        <v>1200</v>
      </c>
      <c r="R107" s="1717" t="s">
        <v>541</v>
      </c>
      <c r="S107" s="1692" t="s">
        <v>1257</v>
      </c>
      <c r="T107" s="1653"/>
      <c r="U107" s="165"/>
      <c r="V107" s="165"/>
    </row>
    <row r="108" spans="1:20" s="453" customFormat="1" ht="23.25" customHeight="1">
      <c r="A108" s="1006" t="s">
        <v>318</v>
      </c>
      <c r="B108" s="410" t="s">
        <v>228</v>
      </c>
      <c r="C108" s="352">
        <v>6</v>
      </c>
      <c r="D108" s="352">
        <v>1</v>
      </c>
      <c r="E108" s="56">
        <v>160</v>
      </c>
      <c r="F108" s="61">
        <f>C108*D108*E108</f>
        <v>960</v>
      </c>
      <c r="G108" s="70">
        <f t="shared" si="20"/>
        <v>222</v>
      </c>
      <c r="H108" s="367"/>
      <c r="I108" s="352"/>
      <c r="J108" s="352">
        <v>9</v>
      </c>
      <c r="K108" s="353">
        <v>150</v>
      </c>
      <c r="L108" s="354">
        <f t="shared" si="21"/>
        <v>1350</v>
      </c>
      <c r="M108" s="354"/>
      <c r="N108" s="354"/>
      <c r="O108" s="354"/>
      <c r="P108" s="464"/>
      <c r="Q108" s="355">
        <f>F108+L108+M108+P108+G108</f>
        <v>2532</v>
      </c>
      <c r="R108" s="1734" t="s">
        <v>541</v>
      </c>
      <c r="S108" s="1684" t="s">
        <v>318</v>
      </c>
      <c r="T108" s="1653"/>
    </row>
    <row r="109" spans="1:20" s="164" customFormat="1" ht="25.5" customHeight="1">
      <c r="A109" s="1028" t="s">
        <v>318</v>
      </c>
      <c r="B109" s="232" t="s">
        <v>229</v>
      </c>
      <c r="C109" s="93"/>
      <c r="D109" s="93"/>
      <c r="E109" s="114"/>
      <c r="F109" s="94"/>
      <c r="G109" s="70">
        <f t="shared" si="20"/>
        <v>0</v>
      </c>
      <c r="H109" s="229"/>
      <c r="I109" s="93"/>
      <c r="J109" s="93">
        <v>6</v>
      </c>
      <c r="K109" s="114">
        <v>150</v>
      </c>
      <c r="L109" s="94">
        <f t="shared" si="21"/>
        <v>900</v>
      </c>
      <c r="M109" s="94"/>
      <c r="N109" s="114" t="s">
        <v>318</v>
      </c>
      <c r="O109" s="114"/>
      <c r="P109" s="114"/>
      <c r="Q109" s="95">
        <f>F109+L109+M109+G109+P109</f>
        <v>900</v>
      </c>
      <c r="R109" s="1717"/>
      <c r="S109" s="1692" t="s">
        <v>1258</v>
      </c>
      <c r="T109" s="1653"/>
    </row>
    <row r="110" spans="1:20" s="31" customFormat="1" ht="13.5" customHeight="1">
      <c r="A110" s="1006" t="s">
        <v>318</v>
      </c>
      <c r="B110" s="232" t="s">
        <v>733</v>
      </c>
      <c r="C110" s="76">
        <v>3</v>
      </c>
      <c r="D110" s="76">
        <v>5</v>
      </c>
      <c r="E110" s="56">
        <v>70</v>
      </c>
      <c r="F110" s="61">
        <f>C110*D110*E110</f>
        <v>1050</v>
      </c>
      <c r="G110" s="70">
        <f t="shared" si="20"/>
        <v>243</v>
      </c>
      <c r="H110" s="229"/>
      <c r="I110" s="76"/>
      <c r="J110" s="76">
        <v>5</v>
      </c>
      <c r="K110" s="56">
        <v>150</v>
      </c>
      <c r="L110" s="61">
        <f t="shared" si="21"/>
        <v>750</v>
      </c>
      <c r="M110" s="56"/>
      <c r="N110" s="61"/>
      <c r="O110" s="61"/>
      <c r="P110" s="61"/>
      <c r="Q110" s="77">
        <f>F110+L110+M110+N110+G110</f>
        <v>2043</v>
      </c>
      <c r="R110" s="1717"/>
      <c r="S110" s="1692" t="s">
        <v>318</v>
      </c>
      <c r="T110" s="1653"/>
    </row>
    <row r="111" spans="1:20" s="4" customFormat="1" ht="20.25" customHeight="1">
      <c r="A111" s="1359">
        <v>2</v>
      </c>
      <c r="B111" s="410" t="s">
        <v>356</v>
      </c>
      <c r="C111" s="69"/>
      <c r="D111" s="69"/>
      <c r="E111" s="69"/>
      <c r="F111" s="60"/>
      <c r="G111" s="1425"/>
      <c r="H111" s="1434"/>
      <c r="I111" s="69"/>
      <c r="J111" s="69"/>
      <c r="K111" s="69"/>
      <c r="L111" s="60"/>
      <c r="M111" s="58"/>
      <c r="N111" s="75">
        <v>7000</v>
      </c>
      <c r="O111" s="75"/>
      <c r="P111" s="71">
        <f>F111+L111+M111+N111+G111</f>
        <v>7000</v>
      </c>
      <c r="Q111" s="512"/>
      <c r="R111" s="1731" t="s">
        <v>513</v>
      </c>
      <c r="S111" s="1681"/>
      <c r="T111" s="1653"/>
    </row>
    <row r="112" spans="1:20" s="4" customFormat="1" ht="15" customHeight="1">
      <c r="A112" s="1561">
        <v>3</v>
      </c>
      <c r="B112" s="309" t="s">
        <v>375</v>
      </c>
      <c r="C112" s="67">
        <v>20</v>
      </c>
      <c r="D112" s="67">
        <v>25</v>
      </c>
      <c r="E112" s="67">
        <v>80</v>
      </c>
      <c r="F112" s="68">
        <f>C112*D112*E112</f>
        <v>40000</v>
      </c>
      <c r="G112" s="1167">
        <f>ROUND(F112*0.231,0)</f>
        <v>9240</v>
      </c>
      <c r="H112" s="1432"/>
      <c r="I112" s="67"/>
      <c r="J112" s="67">
        <v>15</v>
      </c>
      <c r="K112" s="67">
        <v>150</v>
      </c>
      <c r="L112" s="68">
        <f>J112*K112</f>
        <v>2250</v>
      </c>
      <c r="M112" s="57">
        <v>14400</v>
      </c>
      <c r="N112" s="82">
        <v>0</v>
      </c>
      <c r="O112" s="82"/>
      <c r="P112" s="83">
        <f>F112+L112+M112+N112+G112+G113+L113+F113</f>
        <v>100638</v>
      </c>
      <c r="Q112" s="423"/>
      <c r="R112" s="1731" t="s">
        <v>1255</v>
      </c>
      <c r="S112" s="1681"/>
      <c r="T112" s="1653"/>
    </row>
    <row r="113" spans="1:20" s="4" customFormat="1" ht="15" customHeight="1">
      <c r="A113" s="1359"/>
      <c r="B113" s="410" t="s">
        <v>664</v>
      </c>
      <c r="C113" s="69">
        <v>15</v>
      </c>
      <c r="D113" s="69">
        <v>22</v>
      </c>
      <c r="E113" s="69">
        <v>80</v>
      </c>
      <c r="F113" s="70">
        <f>C113*D113*E113</f>
        <v>26400</v>
      </c>
      <c r="G113" s="1167">
        <f>ROUND(F113*0.231,0)</f>
        <v>6098</v>
      </c>
      <c r="H113" s="1434"/>
      <c r="I113" s="69"/>
      <c r="J113" s="69">
        <v>15</v>
      </c>
      <c r="K113" s="69">
        <v>150</v>
      </c>
      <c r="L113" s="60">
        <f>J113*K113</f>
        <v>2250</v>
      </c>
      <c r="M113" s="58"/>
      <c r="N113" s="75"/>
      <c r="O113" s="75"/>
      <c r="P113" s="58"/>
      <c r="Q113" s="1206"/>
      <c r="R113" s="1731"/>
      <c r="S113" s="1681"/>
      <c r="T113" s="1653"/>
    </row>
    <row r="114" spans="1:20" s="31" customFormat="1" ht="12.75">
      <c r="A114" s="1343">
        <v>4</v>
      </c>
      <c r="B114" s="66" t="s">
        <v>619</v>
      </c>
      <c r="C114" s="28">
        <v>2</v>
      </c>
      <c r="D114" s="28">
        <v>6</v>
      </c>
      <c r="E114" s="66">
        <v>100</v>
      </c>
      <c r="F114" s="59">
        <f>C114*D114*E114</f>
        <v>1200</v>
      </c>
      <c r="G114" s="254">
        <f>F114*0.226</f>
        <v>271</v>
      </c>
      <c r="H114" s="1450"/>
      <c r="I114" s="254"/>
      <c r="J114" s="28"/>
      <c r="K114" s="66"/>
      <c r="L114" s="59"/>
      <c r="M114" s="66"/>
      <c r="N114" s="66"/>
      <c r="O114" s="66"/>
      <c r="P114" s="66"/>
      <c r="Q114" s="118"/>
      <c r="R114" s="1711"/>
      <c r="S114" s="1685"/>
      <c r="T114" s="1653"/>
    </row>
    <row r="115" spans="1:20" s="31" customFormat="1" ht="13.5" thickBot="1">
      <c r="A115" s="1343" t="s">
        <v>318</v>
      </c>
      <c r="B115" s="66" t="s">
        <v>1236</v>
      </c>
      <c r="C115" s="28">
        <v>1</v>
      </c>
      <c r="D115" s="28">
        <v>9</v>
      </c>
      <c r="E115" s="66">
        <v>33</v>
      </c>
      <c r="F115" s="59">
        <f>C115*D115*E115</f>
        <v>297</v>
      </c>
      <c r="G115" s="254">
        <f>F115*0.226</f>
        <v>67</v>
      </c>
      <c r="H115" s="1450"/>
      <c r="I115" s="254"/>
      <c r="J115" s="28">
        <v>12</v>
      </c>
      <c r="K115" s="66">
        <v>150</v>
      </c>
      <c r="L115" s="59">
        <f>J115*K115</f>
        <v>1800</v>
      </c>
      <c r="M115" s="66"/>
      <c r="N115" s="66"/>
      <c r="O115" s="66"/>
      <c r="P115" s="81">
        <f>SUM(F114:G115,L115)</f>
        <v>3635</v>
      </c>
      <c r="Q115" s="366" t="s">
        <v>1085</v>
      </c>
      <c r="R115" s="1711"/>
      <c r="S115" s="1685"/>
      <c r="T115" s="1653"/>
    </row>
    <row r="116" spans="1:20" s="64" customFormat="1" ht="12.75" customHeight="1" thickBot="1">
      <c r="A116" s="1353"/>
      <c r="B116" s="46" t="s">
        <v>1783</v>
      </c>
      <c r="C116" s="47"/>
      <c r="D116" s="47"/>
      <c r="E116" s="46"/>
      <c r="F116" s="50">
        <f>SUM(F104:F115)</f>
        <v>77337</v>
      </c>
      <c r="G116" s="50">
        <f>SUM(G104:G115)</f>
        <v>17858</v>
      </c>
      <c r="H116" s="50">
        <f>SUM(H104:H115)</f>
        <v>0</v>
      </c>
      <c r="I116" s="50"/>
      <c r="J116" s="50"/>
      <c r="K116" s="50"/>
      <c r="L116" s="50">
        <f>SUM(L104:L115)</f>
        <v>18150</v>
      </c>
      <c r="M116" s="50">
        <f>SUM(M104:M115)</f>
        <v>14400</v>
      </c>
      <c r="N116" s="50">
        <f>SUM(N104:N115)</f>
        <v>7000</v>
      </c>
      <c r="O116" s="50">
        <f>SUM(O104:O115)</f>
        <v>7000</v>
      </c>
      <c r="P116" s="50">
        <f>SUM(P103:P115)</f>
        <v>141745</v>
      </c>
      <c r="Q116" s="149"/>
      <c r="R116" s="1735"/>
      <c r="S116" s="1693"/>
      <c r="T116" s="1653">
        <f>SUM(F116:O116)</f>
        <v>141745</v>
      </c>
    </row>
    <row r="117" spans="1:20" s="35" customFormat="1" ht="12.75">
      <c r="A117" s="806" t="s">
        <v>318</v>
      </c>
      <c r="B117" s="135" t="s">
        <v>1205</v>
      </c>
      <c r="C117" s="106"/>
      <c r="D117" s="106"/>
      <c r="E117" s="121"/>
      <c r="F117" s="121"/>
      <c r="G117" s="846"/>
      <c r="H117" s="1439"/>
      <c r="I117" s="846"/>
      <c r="J117" s="106"/>
      <c r="K117" s="121"/>
      <c r="L117" s="121"/>
      <c r="M117" s="121"/>
      <c r="N117" s="121"/>
      <c r="O117" s="121"/>
      <c r="P117" s="121"/>
      <c r="Q117" s="415"/>
      <c r="R117" s="1715"/>
      <c r="S117" s="1689"/>
      <c r="T117" s="1653"/>
    </row>
    <row r="118" spans="1:21" s="139" customFormat="1" ht="15" customHeight="1">
      <c r="A118" s="1902">
        <v>1</v>
      </c>
      <c r="B118" s="1880" t="s">
        <v>1142</v>
      </c>
      <c r="C118" s="106"/>
      <c r="D118" s="106"/>
      <c r="E118" s="121"/>
      <c r="F118" s="127"/>
      <c r="G118" s="100"/>
      <c r="H118" s="117"/>
      <c r="I118" s="106"/>
      <c r="J118" s="106">
        <v>20</v>
      </c>
      <c r="K118" s="121">
        <v>50</v>
      </c>
      <c r="L118" s="127">
        <f>J118*K118</f>
        <v>1000</v>
      </c>
      <c r="M118" s="127"/>
      <c r="N118" s="127">
        <v>1000</v>
      </c>
      <c r="O118" s="127"/>
      <c r="P118" s="124">
        <f>SUM(L118:L119,N118)</f>
        <v>4250</v>
      </c>
      <c r="Q118" s="125"/>
      <c r="R118" s="1695" t="s">
        <v>1237</v>
      </c>
      <c r="S118" s="1682"/>
      <c r="T118" s="1653"/>
      <c r="U118" s="106"/>
    </row>
    <row r="119" spans="1:20" s="139" customFormat="1" ht="15" customHeight="1">
      <c r="A119" s="1903"/>
      <c r="B119" s="1904"/>
      <c r="C119" s="97"/>
      <c r="D119" s="97"/>
      <c r="E119" s="105"/>
      <c r="F119" s="98"/>
      <c r="G119" s="70"/>
      <c r="H119" s="229"/>
      <c r="I119" s="97"/>
      <c r="J119" s="97">
        <v>15</v>
      </c>
      <c r="K119" s="105">
        <v>150</v>
      </c>
      <c r="L119" s="98">
        <f>J119*K119</f>
        <v>2250</v>
      </c>
      <c r="M119" s="98"/>
      <c r="N119" s="98"/>
      <c r="O119" s="98"/>
      <c r="P119" s="143"/>
      <c r="Q119" s="125"/>
      <c r="R119" s="1695"/>
      <c r="S119" s="1682"/>
      <c r="T119" s="1653"/>
    </row>
    <row r="120" spans="1:23" s="4" customFormat="1" ht="15" customHeight="1">
      <c r="A120" s="1359">
        <v>2</v>
      </c>
      <c r="B120" s="410" t="s">
        <v>1501</v>
      </c>
      <c r="C120" s="69">
        <v>10</v>
      </c>
      <c r="D120" s="69">
        <v>1</v>
      </c>
      <c r="E120" s="69">
        <v>120</v>
      </c>
      <c r="F120" s="60">
        <f>C120*D120*E120</f>
        <v>1200</v>
      </c>
      <c r="G120" s="1425">
        <f>ROUND(F120*0.228,0)</f>
        <v>274</v>
      </c>
      <c r="H120" s="1434"/>
      <c r="I120" s="69"/>
      <c r="J120" s="69">
        <v>4</v>
      </c>
      <c r="K120" s="69">
        <v>150</v>
      </c>
      <c r="L120" s="60">
        <f>J120*K120</f>
        <v>600</v>
      </c>
      <c r="M120" s="58"/>
      <c r="N120" s="75">
        <v>2100</v>
      </c>
      <c r="O120" s="75"/>
      <c r="P120" s="71">
        <f>F120+L120+M120+N120+G120</f>
        <v>4174</v>
      </c>
      <c r="Q120" s="423" t="s">
        <v>541</v>
      </c>
      <c r="R120" s="1710"/>
      <c r="S120" s="1684" t="s">
        <v>665</v>
      </c>
      <c r="T120" s="1653"/>
      <c r="U120" s="13"/>
      <c r="V120" s="13"/>
      <c r="W120" s="13"/>
    </row>
    <row r="121" spans="1:20" s="268" customFormat="1" ht="28.5" customHeight="1" thickBot="1">
      <c r="A121" s="1360">
        <v>3</v>
      </c>
      <c r="B121" s="252" t="s">
        <v>603</v>
      </c>
      <c r="C121" s="251">
        <v>10</v>
      </c>
      <c r="D121" s="251">
        <v>1</v>
      </c>
      <c r="E121" s="250">
        <v>114</v>
      </c>
      <c r="F121" s="250">
        <f>C121*D121*E121</f>
        <v>1140</v>
      </c>
      <c r="G121" s="1212">
        <f>F121*0.231</f>
        <v>263</v>
      </c>
      <c r="H121" s="1451"/>
      <c r="I121" s="1212"/>
      <c r="J121" s="251">
        <v>37</v>
      </c>
      <c r="K121" s="250">
        <v>150</v>
      </c>
      <c r="L121" s="250">
        <f>J121*K121</f>
        <v>5550</v>
      </c>
      <c r="M121" s="250"/>
      <c r="N121" s="250"/>
      <c r="O121" s="250"/>
      <c r="P121" s="253">
        <f>F121+L121+G121</f>
        <v>6953</v>
      </c>
      <c r="Q121" s="1181" t="s">
        <v>1084</v>
      </c>
      <c r="R121" s="1736"/>
      <c r="S121" s="1687"/>
      <c r="T121" s="1653"/>
    </row>
    <row r="122" spans="1:22" s="37" customFormat="1" ht="12.75" customHeight="1" thickBot="1">
      <c r="A122" s="1503"/>
      <c r="B122" s="130" t="s">
        <v>1783</v>
      </c>
      <c r="C122" s="132"/>
      <c r="D122" s="132"/>
      <c r="E122" s="131"/>
      <c r="F122" s="1329">
        <f aca="true" t="shared" si="22" ref="F122:O122">SUM(F118:F121)</f>
        <v>2340</v>
      </c>
      <c r="G122" s="1329">
        <f t="shared" si="22"/>
        <v>537</v>
      </c>
      <c r="H122" s="1329">
        <f t="shared" si="22"/>
        <v>0</v>
      </c>
      <c r="I122" s="1329"/>
      <c r="J122" s="1329"/>
      <c r="K122" s="1329"/>
      <c r="L122" s="1329">
        <f t="shared" si="22"/>
        <v>9400</v>
      </c>
      <c r="M122" s="1329">
        <f t="shared" si="22"/>
        <v>0</v>
      </c>
      <c r="N122" s="1329">
        <f t="shared" si="22"/>
        <v>3100</v>
      </c>
      <c r="O122" s="1329">
        <f t="shared" si="22"/>
        <v>0</v>
      </c>
      <c r="P122" s="1329">
        <f>SUM(P118:P121)</f>
        <v>15377</v>
      </c>
      <c r="Q122" s="414"/>
      <c r="R122" s="1737" t="s">
        <v>318</v>
      </c>
      <c r="S122" s="1694"/>
      <c r="T122" s="1653">
        <f>SUM(F122:O122)</f>
        <v>15377</v>
      </c>
      <c r="V122" s="54"/>
    </row>
    <row r="123" spans="1:21" ht="12.75" customHeight="1" thickBot="1">
      <c r="A123" s="1345"/>
      <c r="B123" s="1502" t="s">
        <v>1206</v>
      </c>
      <c r="C123" s="97"/>
      <c r="D123" s="97"/>
      <c r="E123" s="105"/>
      <c r="F123" s="105"/>
      <c r="G123" s="1425"/>
      <c r="H123" s="1434"/>
      <c r="I123" s="97"/>
      <c r="J123" s="97"/>
      <c r="K123" s="105"/>
      <c r="L123" s="105"/>
      <c r="M123" s="105"/>
      <c r="N123" s="105"/>
      <c r="O123" s="105"/>
      <c r="P123" s="105"/>
      <c r="Q123" s="106"/>
      <c r="R123" s="1709"/>
      <c r="S123" s="903"/>
      <c r="T123" s="1653">
        <f>SUM(F123:O123)</f>
        <v>0</v>
      </c>
      <c r="U123" s="139"/>
    </row>
    <row r="124" spans="1:20" s="31" customFormat="1" ht="17.25" customHeight="1" thickBot="1">
      <c r="A124" s="390"/>
      <c r="B124" s="309" t="s">
        <v>174</v>
      </c>
      <c r="C124" s="28"/>
      <c r="D124" s="28"/>
      <c r="E124" s="66"/>
      <c r="F124" s="66">
        <f>SUM(F125:F131)</f>
        <v>9560</v>
      </c>
      <c r="G124" s="28">
        <f>SUM(G125:G131)</f>
        <v>2208</v>
      </c>
      <c r="H124" s="117">
        <f>SUM(H125:H131)</f>
        <v>0</v>
      </c>
      <c r="I124" s="28" t="s">
        <v>318</v>
      </c>
      <c r="J124" s="28" t="s">
        <v>318</v>
      </c>
      <c r="K124" s="66" t="s">
        <v>318</v>
      </c>
      <c r="L124" s="66">
        <f>SUM(L125:L131)</f>
        <v>9750</v>
      </c>
      <c r="M124" s="66">
        <f>SUM(M125:M131)</f>
        <v>0</v>
      </c>
      <c r="N124" s="81">
        <f>SUM(N125:N131)</f>
        <v>2240</v>
      </c>
      <c r="O124" s="81">
        <f>SUM(O125:O131)</f>
        <v>0</v>
      </c>
      <c r="P124" s="79">
        <f>SUM(F124:O124)</f>
        <v>23758</v>
      </c>
      <c r="Q124" s="1420"/>
      <c r="R124" s="1738" t="s">
        <v>318</v>
      </c>
      <c r="S124" s="1691">
        <f>SUM(F124:N124)</f>
        <v>23758</v>
      </c>
      <c r="T124" s="1653"/>
    </row>
    <row r="125" spans="1:20" s="164" customFormat="1" ht="24">
      <c r="A125" s="1572" t="s">
        <v>1275</v>
      </c>
      <c r="B125" s="232" t="s">
        <v>1778</v>
      </c>
      <c r="C125" s="93">
        <v>4</v>
      </c>
      <c r="D125" s="93">
        <v>1</v>
      </c>
      <c r="E125" s="114">
        <v>150</v>
      </c>
      <c r="F125" s="94">
        <f aca="true" t="shared" si="23" ref="F125:F131">C125*D125*E125</f>
        <v>600</v>
      </c>
      <c r="G125" s="92">
        <f aca="true" t="shared" si="24" ref="G125:G131">ROUND(F125*0.231,0)</f>
        <v>139</v>
      </c>
      <c r="H125" s="231"/>
      <c r="I125" s="93"/>
      <c r="J125" s="93">
        <v>5</v>
      </c>
      <c r="K125" s="114">
        <v>150</v>
      </c>
      <c r="L125" s="94">
        <f aca="true" t="shared" si="25" ref="L125:L134">J125*K125</f>
        <v>750</v>
      </c>
      <c r="M125" s="94"/>
      <c r="N125" s="94"/>
      <c r="O125" s="94"/>
      <c r="P125" s="1310"/>
      <c r="Q125" s="973"/>
      <c r="R125" s="1738"/>
      <c r="S125" s="1685"/>
      <c r="T125" s="1653"/>
    </row>
    <row r="126" spans="1:20" s="164" customFormat="1" ht="24">
      <c r="A126" s="1573"/>
      <c r="B126" s="309" t="s">
        <v>1820</v>
      </c>
      <c r="C126" s="352">
        <v>2</v>
      </c>
      <c r="D126" s="352">
        <v>1</v>
      </c>
      <c r="E126" s="353">
        <v>150</v>
      </c>
      <c r="F126" s="354">
        <f t="shared" si="23"/>
        <v>300</v>
      </c>
      <c r="G126" s="1209">
        <f t="shared" si="24"/>
        <v>69</v>
      </c>
      <c r="H126" s="367"/>
      <c r="I126" s="352"/>
      <c r="J126" s="352">
        <v>3</v>
      </c>
      <c r="K126" s="353">
        <v>150</v>
      </c>
      <c r="L126" s="354">
        <f t="shared" si="25"/>
        <v>450</v>
      </c>
      <c r="M126" s="354"/>
      <c r="N126" s="354"/>
      <c r="O126" s="354"/>
      <c r="P126" s="355"/>
      <c r="Q126" s="433"/>
      <c r="R126" s="1738"/>
      <c r="S126" s="1685"/>
      <c r="T126" s="1653"/>
    </row>
    <row r="127" spans="1:20" s="164" customFormat="1" ht="24">
      <c r="A127" s="1574"/>
      <c r="B127" s="309" t="s">
        <v>1198</v>
      </c>
      <c r="C127" s="352">
        <v>5</v>
      </c>
      <c r="D127" s="352">
        <v>6</v>
      </c>
      <c r="E127" s="353">
        <v>170</v>
      </c>
      <c r="F127" s="354">
        <f t="shared" si="23"/>
        <v>5100</v>
      </c>
      <c r="G127" s="1209">
        <f t="shared" si="24"/>
        <v>1178</v>
      </c>
      <c r="H127" s="367"/>
      <c r="I127" s="352"/>
      <c r="J127" s="352">
        <v>9</v>
      </c>
      <c r="K127" s="353">
        <v>150</v>
      </c>
      <c r="L127" s="354">
        <f t="shared" si="25"/>
        <v>1350</v>
      </c>
      <c r="M127" s="354"/>
      <c r="N127" s="354"/>
      <c r="O127" s="354"/>
      <c r="P127" s="355"/>
      <c r="Q127" s="171"/>
      <c r="R127" s="1738"/>
      <c r="S127" s="1685"/>
      <c r="T127" s="1653"/>
    </row>
    <row r="128" spans="1:20" s="164" customFormat="1" ht="23.25" customHeight="1">
      <c r="A128" s="1574"/>
      <c r="B128" s="309" t="s">
        <v>1197</v>
      </c>
      <c r="C128" s="352">
        <v>2</v>
      </c>
      <c r="D128" s="352">
        <v>1</v>
      </c>
      <c r="E128" s="353">
        <v>100</v>
      </c>
      <c r="F128" s="354">
        <f t="shared" si="23"/>
        <v>200</v>
      </c>
      <c r="G128" s="1209">
        <f t="shared" si="24"/>
        <v>46</v>
      </c>
      <c r="H128" s="367"/>
      <c r="I128" s="352"/>
      <c r="J128" s="352">
        <v>6</v>
      </c>
      <c r="K128" s="353">
        <v>150</v>
      </c>
      <c r="L128" s="354">
        <f t="shared" si="25"/>
        <v>900</v>
      </c>
      <c r="M128" s="354"/>
      <c r="N128" s="354"/>
      <c r="O128" s="354"/>
      <c r="P128" s="355"/>
      <c r="Q128" s="433"/>
      <c r="R128" s="1738"/>
      <c r="S128" s="1685"/>
      <c r="T128" s="1653"/>
    </row>
    <row r="129" spans="1:20" s="164" customFormat="1" ht="22.5" customHeight="1">
      <c r="A129" s="1574"/>
      <c r="B129" s="309" t="s">
        <v>1819</v>
      </c>
      <c r="C129" s="165">
        <v>14</v>
      </c>
      <c r="D129" s="165">
        <v>1</v>
      </c>
      <c r="E129" s="353">
        <v>150</v>
      </c>
      <c r="F129" s="169">
        <f t="shared" si="23"/>
        <v>2100</v>
      </c>
      <c r="G129" s="1209">
        <f t="shared" si="24"/>
        <v>485</v>
      </c>
      <c r="H129" s="166"/>
      <c r="I129" s="165"/>
      <c r="J129" s="165">
        <v>35</v>
      </c>
      <c r="K129" s="168">
        <v>150</v>
      </c>
      <c r="L129" s="169">
        <f t="shared" si="25"/>
        <v>5250</v>
      </c>
      <c r="M129" s="169"/>
      <c r="N129" s="169"/>
      <c r="O129" s="169"/>
      <c r="P129" s="450"/>
      <c r="Q129" s="433" t="s">
        <v>541</v>
      </c>
      <c r="R129" s="1738" t="s">
        <v>318</v>
      </c>
      <c r="S129" s="1685"/>
      <c r="T129" s="1653"/>
    </row>
    <row r="130" spans="1:20" s="338" customFormat="1" ht="24.75" customHeight="1">
      <c r="A130" s="1575"/>
      <c r="B130" s="834" t="s">
        <v>38</v>
      </c>
      <c r="C130" s="454">
        <v>2</v>
      </c>
      <c r="D130" s="454">
        <v>3</v>
      </c>
      <c r="E130" s="463">
        <v>110</v>
      </c>
      <c r="F130" s="245">
        <f t="shared" si="23"/>
        <v>660</v>
      </c>
      <c r="G130" s="92">
        <f t="shared" si="24"/>
        <v>152</v>
      </c>
      <c r="H130" s="231"/>
      <c r="I130" s="454"/>
      <c r="J130" s="454">
        <v>5</v>
      </c>
      <c r="K130" s="463">
        <v>150</v>
      </c>
      <c r="L130" s="245">
        <f t="shared" si="25"/>
        <v>750</v>
      </c>
      <c r="M130" s="245"/>
      <c r="N130" s="245"/>
      <c r="O130" s="245"/>
      <c r="P130" s="1310"/>
      <c r="Q130" s="448"/>
      <c r="R130" s="1695" t="s">
        <v>318</v>
      </c>
      <c r="S130" s="1682"/>
      <c r="T130" s="1653"/>
    </row>
    <row r="131" spans="1:20" s="338" customFormat="1" ht="32.25" customHeight="1">
      <c r="A131" s="1576"/>
      <c r="B131" s="238" t="s">
        <v>1196</v>
      </c>
      <c r="C131" s="239">
        <v>2</v>
      </c>
      <c r="D131" s="239">
        <v>3</v>
      </c>
      <c r="E131" s="237">
        <v>100</v>
      </c>
      <c r="F131" s="240">
        <f t="shared" si="23"/>
        <v>600</v>
      </c>
      <c r="G131" s="1209">
        <f t="shared" si="24"/>
        <v>139</v>
      </c>
      <c r="H131" s="367"/>
      <c r="I131" s="239"/>
      <c r="J131" s="239">
        <v>2</v>
      </c>
      <c r="K131" s="237">
        <v>150</v>
      </c>
      <c r="L131" s="240">
        <f t="shared" si="25"/>
        <v>300</v>
      </c>
      <c r="M131" s="240"/>
      <c r="N131" s="240">
        <v>2240</v>
      </c>
      <c r="O131" s="240"/>
      <c r="P131" s="241"/>
      <c r="Q131" s="846"/>
      <c r="R131" s="1754"/>
      <c r="S131" s="1686" t="s">
        <v>1259</v>
      </c>
      <c r="T131" s="1653"/>
    </row>
    <row r="132" spans="1:20" s="4" customFormat="1" ht="22.5" customHeight="1">
      <c r="A132" s="1006">
        <v>2</v>
      </c>
      <c r="B132" s="232" t="s">
        <v>1913</v>
      </c>
      <c r="C132" s="76"/>
      <c r="D132" s="76"/>
      <c r="E132" s="56"/>
      <c r="F132" s="61"/>
      <c r="G132" s="1429"/>
      <c r="H132" s="1441"/>
      <c r="I132" s="76"/>
      <c r="J132" s="76">
        <v>15</v>
      </c>
      <c r="K132" s="56">
        <v>150</v>
      </c>
      <c r="L132" s="56">
        <f t="shared" si="25"/>
        <v>2250</v>
      </c>
      <c r="M132" s="56"/>
      <c r="N132" s="1504" t="s">
        <v>318</v>
      </c>
      <c r="O132" s="1204"/>
      <c r="P132" s="77">
        <f>SUM(F132:G132,L132:N132)</f>
        <v>2250</v>
      </c>
      <c r="Q132" s="1762"/>
      <c r="R132" s="1745"/>
      <c r="S132" s="1681"/>
      <c r="T132" s="1653"/>
    </row>
    <row r="133" spans="1:20" s="453" customFormat="1" ht="24" customHeight="1" thickBot="1">
      <c r="A133" s="1563">
        <v>3</v>
      </c>
      <c r="B133" s="309" t="s">
        <v>252</v>
      </c>
      <c r="C133" s="165">
        <v>8</v>
      </c>
      <c r="D133" s="165">
        <v>4</v>
      </c>
      <c r="E133" s="165">
        <v>150</v>
      </c>
      <c r="F133" s="169">
        <f>C133*D133*E133</f>
        <v>4800</v>
      </c>
      <c r="G133" s="1209">
        <f>ROUND(F133*0.228,0)</f>
        <v>1094</v>
      </c>
      <c r="H133" s="367"/>
      <c r="I133" s="352"/>
      <c r="J133" s="352">
        <v>4</v>
      </c>
      <c r="K133" s="352">
        <v>150</v>
      </c>
      <c r="L133" s="354">
        <f t="shared" si="25"/>
        <v>600</v>
      </c>
      <c r="M133" s="354"/>
      <c r="N133" s="464">
        <v>8400</v>
      </c>
      <c r="O133" s="464"/>
      <c r="P133" s="355">
        <f>SUM(F133:G133,L133:N133)</f>
        <v>14894</v>
      </c>
      <c r="Q133" s="1402"/>
      <c r="R133" s="1710"/>
      <c r="S133" s="1684" t="s">
        <v>666</v>
      </c>
      <c r="T133" s="1653"/>
    </row>
    <row r="134" spans="1:20" s="35" customFormat="1" ht="12.75">
      <c r="A134" s="1347">
        <v>4</v>
      </c>
      <c r="B134" s="201" t="s">
        <v>604</v>
      </c>
      <c r="C134" s="202">
        <v>2</v>
      </c>
      <c r="D134" s="202">
        <v>5</v>
      </c>
      <c r="E134" s="201">
        <v>100</v>
      </c>
      <c r="F134" s="201">
        <f>C134*D134*E134</f>
        <v>1000</v>
      </c>
      <c r="G134" s="1309">
        <f>F134*0.226</f>
        <v>226</v>
      </c>
      <c r="H134" s="1452"/>
      <c r="I134" s="1309"/>
      <c r="J134" s="202">
        <v>12</v>
      </c>
      <c r="K134" s="201">
        <v>100</v>
      </c>
      <c r="L134" s="201">
        <f t="shared" si="25"/>
        <v>1200</v>
      </c>
      <c r="M134" s="201"/>
      <c r="N134" s="201"/>
      <c r="O134" s="201"/>
      <c r="P134" s="211">
        <f>F134+L134+G134+F135+G135</f>
        <v>3033</v>
      </c>
      <c r="Q134" s="413" t="s">
        <v>1084</v>
      </c>
      <c r="R134" s="1715"/>
      <c r="S134" s="1689"/>
      <c r="T134" s="1653"/>
    </row>
    <row r="135" spans="1:20" s="35" customFormat="1" ht="12.75" customHeight="1" thickBot="1">
      <c r="A135" s="1345"/>
      <c r="B135" s="105" t="s">
        <v>1420</v>
      </c>
      <c r="C135" s="97">
        <v>5</v>
      </c>
      <c r="D135" s="97">
        <v>3</v>
      </c>
      <c r="E135" s="105">
        <v>33</v>
      </c>
      <c r="F135" s="105">
        <f>C135*D135*E135</f>
        <v>495</v>
      </c>
      <c r="G135" s="866">
        <f>F135*0.226</f>
        <v>112</v>
      </c>
      <c r="H135" s="1440"/>
      <c r="I135" s="866"/>
      <c r="J135" s="97"/>
      <c r="K135" s="105"/>
      <c r="L135" s="105"/>
      <c r="M135" s="105"/>
      <c r="N135" s="105"/>
      <c r="O135" s="105"/>
      <c r="P135" s="105"/>
      <c r="Q135" s="1398"/>
      <c r="R135" s="1715"/>
      <c r="S135" s="1689"/>
      <c r="T135" s="1653"/>
    </row>
    <row r="136" spans="1:21" s="268" customFormat="1" ht="15.75" customHeight="1" thickBot="1">
      <c r="A136" s="1264">
        <v>5</v>
      </c>
      <c r="B136" s="121" t="s">
        <v>1472</v>
      </c>
      <c r="C136" s="190"/>
      <c r="D136" s="190"/>
      <c r="E136" s="242"/>
      <c r="F136" s="242"/>
      <c r="G136" s="1428">
        <f>ROUND(F136*0.228,0)</f>
        <v>0</v>
      </c>
      <c r="H136" s="1432"/>
      <c r="I136" s="190"/>
      <c r="J136" s="190">
        <v>6</v>
      </c>
      <c r="K136" s="242">
        <v>200</v>
      </c>
      <c r="L136" s="259">
        <f>J136*K136</f>
        <v>1200</v>
      </c>
      <c r="M136" s="242"/>
      <c r="N136" s="242"/>
      <c r="O136" s="242"/>
      <c r="P136" s="259">
        <f>F136+L136+M136</f>
        <v>1200</v>
      </c>
      <c r="Q136" s="190"/>
      <c r="R136" s="1707" t="s">
        <v>1473</v>
      </c>
      <c r="S136" s="1173"/>
      <c r="T136" s="1653"/>
      <c r="U136" s="189"/>
    </row>
    <row r="137" spans="1:22" s="732" customFormat="1" ht="12.75" customHeight="1" thickBot="1">
      <c r="A137" s="1344"/>
      <c r="B137" s="697" t="s">
        <v>1783</v>
      </c>
      <c r="C137" s="696"/>
      <c r="D137" s="696"/>
      <c r="E137" s="697"/>
      <c r="F137" s="731">
        <f>SUM(F125:F136)</f>
        <v>15855</v>
      </c>
      <c r="G137" s="731">
        <f>SUM(G125:G136)</f>
        <v>3640</v>
      </c>
      <c r="H137" s="731">
        <f>SUM(H125:H136)</f>
        <v>0</v>
      </c>
      <c r="I137" s="731"/>
      <c r="J137" s="731"/>
      <c r="K137" s="731"/>
      <c r="L137" s="731">
        <f>SUM(L125:L136)</f>
        <v>15000</v>
      </c>
      <c r="M137" s="731">
        <f>SUM(M125:M136)</f>
        <v>0</v>
      </c>
      <c r="N137" s="731">
        <f>SUM(N125:N136)</f>
        <v>10640</v>
      </c>
      <c r="O137" s="731">
        <f>SUM(O125:O136)</f>
        <v>0</v>
      </c>
      <c r="P137" s="731">
        <f>SUM(P124:P136)</f>
        <v>45135</v>
      </c>
      <c r="Q137" s="696">
        <f>SUM(Q123:Q136)</f>
        <v>0</v>
      </c>
      <c r="R137" s="1725">
        <f>SUM(R132:R135)</f>
        <v>0</v>
      </c>
      <c r="S137" s="1696"/>
      <c r="T137" s="1653">
        <f>SUM(F137:O137)</f>
        <v>45135</v>
      </c>
      <c r="U137" s="764" t="s">
        <v>318</v>
      </c>
      <c r="V137" s="739"/>
    </row>
    <row r="138" spans="1:20" s="31" customFormat="1" ht="19.5" customHeight="1">
      <c r="A138" s="1343"/>
      <c r="B138" s="233" t="s">
        <v>138</v>
      </c>
      <c r="C138" s="100"/>
      <c r="D138" s="28"/>
      <c r="E138" s="66"/>
      <c r="F138" s="59"/>
      <c r="G138" s="254"/>
      <c r="H138" s="1450"/>
      <c r="I138" s="1172"/>
      <c r="J138" s="67"/>
      <c r="K138" s="57"/>
      <c r="L138" s="59"/>
      <c r="M138" s="66"/>
      <c r="N138" s="66"/>
      <c r="O138" s="66"/>
      <c r="P138" s="66"/>
      <c r="Q138" s="118"/>
      <c r="R138" s="1711"/>
      <c r="S138" s="1685"/>
      <c r="T138" s="1653">
        <f>SUM(F138:O138)</f>
        <v>0</v>
      </c>
    </row>
    <row r="139" spans="1:20" s="4" customFormat="1" ht="21" customHeight="1">
      <c r="A139" s="1343">
        <v>1</v>
      </c>
      <c r="B139" s="309" t="s">
        <v>1195</v>
      </c>
      <c r="C139" s="28">
        <v>12</v>
      </c>
      <c r="D139" s="28">
        <v>3</v>
      </c>
      <c r="E139" s="66">
        <v>70</v>
      </c>
      <c r="F139" s="60">
        <f>C139*D139*E139</f>
        <v>2520</v>
      </c>
      <c r="G139" s="1425">
        <f>ROUND(F139*0.228,0)</f>
        <v>575</v>
      </c>
      <c r="H139" s="1453"/>
      <c r="I139" s="70"/>
      <c r="J139" s="69">
        <v>30</v>
      </c>
      <c r="K139" s="58">
        <v>150</v>
      </c>
      <c r="L139" s="66">
        <f>J139*K139</f>
        <v>4500</v>
      </c>
      <c r="M139" s="66"/>
      <c r="N139" s="80">
        <v>2000</v>
      </c>
      <c r="O139" s="80"/>
      <c r="P139" s="77">
        <f>SUM(F139:G139,L139:L139,N139)</f>
        <v>9595</v>
      </c>
      <c r="Q139" s="423"/>
      <c r="R139" s="1710"/>
      <c r="S139" s="1684" t="s">
        <v>678</v>
      </c>
      <c r="T139" s="1653"/>
    </row>
    <row r="140" spans="1:20" s="31" customFormat="1" ht="12.75" customHeight="1">
      <c r="A140" s="1561"/>
      <c r="B140" s="68" t="s">
        <v>620</v>
      </c>
      <c r="C140" s="73">
        <v>4</v>
      </c>
      <c r="D140" s="67">
        <v>1</v>
      </c>
      <c r="E140" s="57">
        <v>150</v>
      </c>
      <c r="F140" s="68">
        <f>C140*D140*E140</f>
        <v>600</v>
      </c>
      <c r="G140" s="1172">
        <f>F140*0.226</f>
        <v>136</v>
      </c>
      <c r="H140" s="1435"/>
      <c r="I140" s="347"/>
      <c r="J140" s="67"/>
      <c r="K140" s="57"/>
      <c r="L140" s="68"/>
      <c r="M140" s="57"/>
      <c r="N140" s="57"/>
      <c r="O140" s="57"/>
      <c r="P140" s="57"/>
      <c r="Q140" s="118"/>
      <c r="R140" s="1711"/>
      <c r="S140" s="1685"/>
      <c r="T140" s="1653"/>
    </row>
    <row r="141" spans="1:20" s="31" customFormat="1" ht="12.75" customHeight="1" thickBot="1">
      <c r="A141" s="1343">
        <v>2</v>
      </c>
      <c r="B141" s="66" t="s">
        <v>1236</v>
      </c>
      <c r="C141" s="100">
        <v>1</v>
      </c>
      <c r="D141" s="28">
        <v>3</v>
      </c>
      <c r="E141" s="66">
        <v>33</v>
      </c>
      <c r="F141" s="59">
        <f>C141*D141*E141</f>
        <v>99</v>
      </c>
      <c r="G141" s="254">
        <f>F141*0.226</f>
        <v>22</v>
      </c>
      <c r="H141" s="1444"/>
      <c r="I141" s="123"/>
      <c r="J141" s="28">
        <v>12</v>
      </c>
      <c r="K141" s="66">
        <v>150</v>
      </c>
      <c r="L141" s="59">
        <f>J141*K141</f>
        <v>1800</v>
      </c>
      <c r="M141" s="66"/>
      <c r="N141" s="66"/>
      <c r="O141" s="66"/>
      <c r="P141" s="81">
        <f>SUM(F140:G141,L141)</f>
        <v>2657</v>
      </c>
      <c r="Q141" s="118" t="s">
        <v>1085</v>
      </c>
      <c r="R141" s="1711"/>
      <c r="S141" s="1685"/>
      <c r="T141" s="1653"/>
    </row>
    <row r="142" spans="1:20" s="346" customFormat="1" ht="12.75" customHeight="1" thickBot="1">
      <c r="A142" s="1355"/>
      <c r="B142" s="1330" t="s">
        <v>1783</v>
      </c>
      <c r="C142" s="1331"/>
      <c r="D142" s="1332"/>
      <c r="E142" s="1330"/>
      <c r="F142" s="1333">
        <f aca="true" t="shared" si="26" ref="F142:O142">SUM(F139:F141)</f>
        <v>3219</v>
      </c>
      <c r="G142" s="1333">
        <f t="shared" si="26"/>
        <v>733</v>
      </c>
      <c r="H142" s="1333">
        <f t="shared" si="26"/>
        <v>0</v>
      </c>
      <c r="I142" s="1333"/>
      <c r="J142" s="1333"/>
      <c r="K142" s="1333"/>
      <c r="L142" s="1333">
        <f t="shared" si="26"/>
        <v>6300</v>
      </c>
      <c r="M142" s="1333">
        <f t="shared" si="26"/>
        <v>0</v>
      </c>
      <c r="N142" s="1333">
        <f t="shared" si="26"/>
        <v>2000</v>
      </c>
      <c r="O142" s="1333">
        <f t="shared" si="26"/>
        <v>0</v>
      </c>
      <c r="P142" s="1333">
        <f>SUM(P139:P141)</f>
        <v>12252</v>
      </c>
      <c r="Q142" s="345"/>
      <c r="R142" s="1739"/>
      <c r="S142" s="1697"/>
      <c r="T142" s="1653">
        <f>SUM(F142:O142)</f>
        <v>12252</v>
      </c>
    </row>
    <row r="143" spans="1:21" ht="24">
      <c r="A143" s="806" t="s">
        <v>318</v>
      </c>
      <c r="B143" s="135" t="s">
        <v>139</v>
      </c>
      <c r="C143" s="106"/>
      <c r="D143" s="106"/>
      <c r="E143" s="121"/>
      <c r="F143" s="121"/>
      <c r="G143" s="1428"/>
      <c r="H143" s="1432"/>
      <c r="I143" s="106"/>
      <c r="J143" s="106"/>
      <c r="K143" s="121"/>
      <c r="L143" s="121"/>
      <c r="M143" s="121"/>
      <c r="N143" s="121"/>
      <c r="O143" s="121"/>
      <c r="P143" s="121"/>
      <c r="Q143" s="106"/>
      <c r="R143" s="1707" t="s">
        <v>1871</v>
      </c>
      <c r="S143" s="903"/>
      <c r="T143" s="1653"/>
      <c r="U143" s="139"/>
    </row>
    <row r="144" spans="1:20" s="4" customFormat="1" ht="15" customHeight="1">
      <c r="A144" s="1359">
        <v>1</v>
      </c>
      <c r="B144" s="410" t="s">
        <v>1859</v>
      </c>
      <c r="C144" s="69">
        <v>20</v>
      </c>
      <c r="D144" s="69">
        <v>5</v>
      </c>
      <c r="E144" s="58">
        <v>100</v>
      </c>
      <c r="F144" s="70">
        <f>C144*D144*E144</f>
        <v>10000</v>
      </c>
      <c r="G144" s="1425">
        <f>ROUND(F144*0.228,0)</f>
        <v>2280</v>
      </c>
      <c r="H144" s="1434"/>
      <c r="I144" s="69"/>
      <c r="J144" s="69">
        <v>12</v>
      </c>
      <c r="K144" s="58">
        <v>150</v>
      </c>
      <c r="L144" s="58">
        <f>J144*K144</f>
        <v>1800</v>
      </c>
      <c r="M144" s="58"/>
      <c r="N144" s="75"/>
      <c r="O144" s="75"/>
      <c r="P144" s="58">
        <f>F144+L144+M144+N144+G144</f>
        <v>14080</v>
      </c>
      <c r="Q144" s="426" t="s">
        <v>541</v>
      </c>
      <c r="R144" s="1705"/>
      <c r="S144" s="1681"/>
      <c r="T144" s="1653"/>
    </row>
    <row r="145" spans="1:20" s="4" customFormat="1" ht="15" customHeight="1">
      <c r="A145" s="1343">
        <v>2</v>
      </c>
      <c r="B145" s="309" t="s">
        <v>1860</v>
      </c>
      <c r="C145" s="28">
        <v>20</v>
      </c>
      <c r="D145" s="28">
        <v>9</v>
      </c>
      <c r="E145" s="66">
        <v>100</v>
      </c>
      <c r="F145" s="59">
        <f>C145*D145*E145</f>
        <v>18000</v>
      </c>
      <c r="G145" s="1425">
        <f>ROUND(F145*0.228,0)</f>
        <v>4104</v>
      </c>
      <c r="H145" s="1432"/>
      <c r="I145" s="28"/>
      <c r="J145" s="28">
        <v>12</v>
      </c>
      <c r="K145" s="57">
        <v>150</v>
      </c>
      <c r="L145" s="66">
        <f>J145*K145</f>
        <v>1800</v>
      </c>
      <c r="M145" s="66"/>
      <c r="N145" s="80"/>
      <c r="O145" s="80"/>
      <c r="P145" s="56">
        <f>F145+L145+M145+N145+G145</f>
        <v>23904</v>
      </c>
      <c r="Q145" s="424" t="s">
        <v>541</v>
      </c>
      <c r="R145" s="1705"/>
      <c r="S145" s="1681"/>
      <c r="T145" s="1653"/>
    </row>
    <row r="146" spans="1:20" s="453" customFormat="1" ht="15" customHeight="1">
      <c r="A146" s="1028">
        <v>3</v>
      </c>
      <c r="B146" s="232" t="s">
        <v>1857</v>
      </c>
      <c r="C146" s="93">
        <v>16</v>
      </c>
      <c r="D146" s="93">
        <v>7</v>
      </c>
      <c r="E146" s="114">
        <v>100</v>
      </c>
      <c r="F146" s="94">
        <f>C146*D146*E146</f>
        <v>11200</v>
      </c>
      <c r="G146" s="92">
        <f>ROUND(F146*0.228,0)</f>
        <v>2554</v>
      </c>
      <c r="H146" s="231">
        <v>8648</v>
      </c>
      <c r="I146" s="93"/>
      <c r="J146" s="93">
        <v>13</v>
      </c>
      <c r="K146" s="114">
        <v>150</v>
      </c>
      <c r="L146" s="114">
        <f>J146*K146</f>
        <v>1950</v>
      </c>
      <c r="M146" s="114"/>
      <c r="N146" s="451"/>
      <c r="O146" s="451"/>
      <c r="P146" s="452">
        <f>SUM(F146:H146,L146:N146)</f>
        <v>24352</v>
      </c>
      <c r="Q146" s="427" t="s">
        <v>1787</v>
      </c>
      <c r="R146" s="1705"/>
      <c r="S146" s="1681"/>
      <c r="T146" s="1653"/>
    </row>
    <row r="147" spans="1:21" ht="12.75" customHeight="1">
      <c r="A147" s="806">
        <v>4</v>
      </c>
      <c r="B147" s="121" t="s">
        <v>932</v>
      </c>
      <c r="C147" s="106"/>
      <c r="D147" s="106"/>
      <c r="E147" s="121"/>
      <c r="F147" s="121"/>
      <c r="G147" s="1428"/>
      <c r="H147" s="1432"/>
      <c r="I147" s="106">
        <v>2</v>
      </c>
      <c r="J147" s="106">
        <v>15</v>
      </c>
      <c r="K147" s="121">
        <v>200</v>
      </c>
      <c r="L147" s="121">
        <f>J147*K147*I147</f>
        <v>6000</v>
      </c>
      <c r="M147" s="121"/>
      <c r="N147" s="121"/>
      <c r="O147" s="121"/>
      <c r="P147" s="121">
        <f>SUM(L147:L148)</f>
        <v>7200</v>
      </c>
      <c r="Q147" s="106"/>
      <c r="R147" s="1707" t="s">
        <v>873</v>
      </c>
      <c r="S147" s="903"/>
      <c r="T147" s="1653"/>
      <c r="U147" s="139"/>
    </row>
    <row r="148" spans="1:21" ht="12.75" customHeight="1">
      <c r="A148" s="1345"/>
      <c r="B148" s="105" t="s">
        <v>1870</v>
      </c>
      <c r="C148" s="97"/>
      <c r="D148" s="97"/>
      <c r="E148" s="105"/>
      <c r="F148" s="105"/>
      <c r="G148" s="1425"/>
      <c r="H148" s="1434"/>
      <c r="I148" s="97"/>
      <c r="J148" s="97">
        <v>6</v>
      </c>
      <c r="K148" s="105">
        <v>200</v>
      </c>
      <c r="L148" s="105">
        <f aca="true" t="shared" si="27" ref="L148:L153">J148*K148</f>
        <v>1200</v>
      </c>
      <c r="M148" s="105"/>
      <c r="N148" s="105"/>
      <c r="O148" s="105"/>
      <c r="P148" s="105"/>
      <c r="Q148" s="97"/>
      <c r="R148" s="1713"/>
      <c r="S148" s="903"/>
      <c r="T148" s="1653"/>
      <c r="U148" s="139"/>
    </row>
    <row r="149" spans="1:20" s="453" customFormat="1" ht="15" customHeight="1">
      <c r="A149" s="1028">
        <v>5</v>
      </c>
      <c r="B149" s="232" t="s">
        <v>1265</v>
      </c>
      <c r="C149" s="93">
        <v>18</v>
      </c>
      <c r="D149" s="93">
        <v>5</v>
      </c>
      <c r="E149" s="114">
        <v>100</v>
      </c>
      <c r="F149" s="676">
        <f aca="true" t="shared" si="28" ref="F149:F154">C149*D149*E149</f>
        <v>9000</v>
      </c>
      <c r="G149" s="92">
        <f aca="true" t="shared" si="29" ref="G149:G154">ROUND(F149*0.228,0)</f>
        <v>2052</v>
      </c>
      <c r="H149" s="94"/>
      <c r="I149" s="455"/>
      <c r="J149" s="455">
        <v>14</v>
      </c>
      <c r="K149" s="456">
        <v>150</v>
      </c>
      <c r="L149" s="456">
        <f t="shared" si="27"/>
        <v>2100</v>
      </c>
      <c r="M149" s="456"/>
      <c r="N149" s="461"/>
      <c r="O149" s="461"/>
      <c r="P149" s="462">
        <f>F149+L149+M149+N149+G149</f>
        <v>13152</v>
      </c>
      <c r="Q149" s="426" t="s">
        <v>1787</v>
      </c>
      <c r="R149" s="1705"/>
      <c r="S149" s="1681"/>
      <c r="T149" s="1653"/>
    </row>
    <row r="150" spans="1:20" s="4" customFormat="1" ht="15" customHeight="1">
      <c r="A150" s="1006">
        <v>6</v>
      </c>
      <c r="B150" s="232" t="s">
        <v>538</v>
      </c>
      <c r="C150" s="76">
        <v>18</v>
      </c>
      <c r="D150" s="76">
        <v>7</v>
      </c>
      <c r="E150" s="56">
        <v>150</v>
      </c>
      <c r="F150" s="61">
        <f t="shared" si="28"/>
        <v>18900</v>
      </c>
      <c r="G150" s="1425">
        <f t="shared" si="29"/>
        <v>4309</v>
      </c>
      <c r="H150" s="1434"/>
      <c r="I150" s="76"/>
      <c r="J150" s="76">
        <v>12</v>
      </c>
      <c r="K150" s="56">
        <v>150</v>
      </c>
      <c r="L150" s="56">
        <f t="shared" si="27"/>
        <v>1800</v>
      </c>
      <c r="M150" s="56"/>
      <c r="N150" s="78"/>
      <c r="O150" s="78"/>
      <c r="P150" s="86">
        <f>F150+L150+M150+N150+G150</f>
        <v>25009</v>
      </c>
      <c r="Q150" s="427" t="s">
        <v>541</v>
      </c>
      <c r="R150" s="1705"/>
      <c r="S150" s="1681"/>
      <c r="T150" s="1653"/>
    </row>
    <row r="151" spans="1:20" s="453" customFormat="1" ht="15" customHeight="1">
      <c r="A151" s="1028">
        <v>7</v>
      </c>
      <c r="B151" s="232" t="s">
        <v>1210</v>
      </c>
      <c r="C151" s="93">
        <v>20</v>
      </c>
      <c r="D151" s="93">
        <v>3</v>
      </c>
      <c r="E151" s="114">
        <v>170</v>
      </c>
      <c r="F151" s="92">
        <f t="shared" si="28"/>
        <v>10200</v>
      </c>
      <c r="G151" s="92">
        <f t="shared" si="29"/>
        <v>2326</v>
      </c>
      <c r="H151" s="231"/>
      <c r="I151" s="93" t="s">
        <v>318</v>
      </c>
      <c r="J151" s="93">
        <v>20</v>
      </c>
      <c r="K151" s="114">
        <v>150</v>
      </c>
      <c r="L151" s="114">
        <f t="shared" si="27"/>
        <v>3000</v>
      </c>
      <c r="M151" s="114"/>
      <c r="N151" s="451"/>
      <c r="O151" s="451"/>
      <c r="P151" s="452">
        <f>F151+L151+M151+N151+G151</f>
        <v>15526</v>
      </c>
      <c r="Q151" s="426" t="s">
        <v>1787</v>
      </c>
      <c r="R151" s="1705"/>
      <c r="S151" s="1681"/>
      <c r="T151" s="1653"/>
    </row>
    <row r="152" spans="1:20" s="4" customFormat="1" ht="15" customHeight="1">
      <c r="A152" s="1359">
        <v>8</v>
      </c>
      <c r="B152" s="410" t="s">
        <v>1834</v>
      </c>
      <c r="C152" s="69">
        <v>12</v>
      </c>
      <c r="D152" s="69">
        <v>1</v>
      </c>
      <c r="E152" s="58">
        <v>60</v>
      </c>
      <c r="F152" s="60">
        <f t="shared" si="28"/>
        <v>720</v>
      </c>
      <c r="G152" s="1425">
        <f t="shared" si="29"/>
        <v>164</v>
      </c>
      <c r="H152" s="1434"/>
      <c r="I152" s="69"/>
      <c r="J152" s="69">
        <v>12</v>
      </c>
      <c r="K152" s="58">
        <v>150</v>
      </c>
      <c r="L152" s="58">
        <f t="shared" si="27"/>
        <v>1800</v>
      </c>
      <c r="M152" s="58">
        <v>7500</v>
      </c>
      <c r="N152" s="75">
        <v>0</v>
      </c>
      <c r="O152" s="75"/>
      <c r="P152" s="84">
        <f>F152+L152+M152+N152+G152</f>
        <v>10184</v>
      </c>
      <c r="Q152" s="427" t="s">
        <v>541</v>
      </c>
      <c r="R152" s="1758"/>
      <c r="S152" s="1684" t="s">
        <v>679</v>
      </c>
      <c r="T152" s="1653"/>
    </row>
    <row r="153" spans="1:20" s="453" customFormat="1" ht="15" customHeight="1">
      <c r="A153" s="1563">
        <v>9</v>
      </c>
      <c r="B153" s="309" t="s">
        <v>468</v>
      </c>
      <c r="C153" s="165">
        <v>2</v>
      </c>
      <c r="D153" s="165">
        <v>4</v>
      </c>
      <c r="E153" s="168">
        <v>150</v>
      </c>
      <c r="F153" s="677">
        <f t="shared" si="28"/>
        <v>1200</v>
      </c>
      <c r="G153" s="677">
        <f t="shared" si="29"/>
        <v>274</v>
      </c>
      <c r="H153" s="166"/>
      <c r="I153" s="165"/>
      <c r="J153" s="165">
        <v>6</v>
      </c>
      <c r="K153" s="168">
        <v>150</v>
      </c>
      <c r="L153" s="168">
        <f t="shared" si="27"/>
        <v>900</v>
      </c>
      <c r="M153" s="168"/>
      <c r="N153" s="460"/>
      <c r="O153" s="460"/>
      <c r="P153" s="450">
        <f>SUM(F153:G154,L153:N154)</f>
        <v>3602</v>
      </c>
      <c r="Q153" s="1897" t="s">
        <v>927</v>
      </c>
      <c r="R153" s="1705"/>
      <c r="S153" s="1681"/>
      <c r="T153" s="1653"/>
    </row>
    <row r="154" spans="1:20" s="4" customFormat="1" ht="19.5" customHeight="1">
      <c r="A154" s="1359"/>
      <c r="B154" s="410"/>
      <c r="C154" s="69">
        <v>5</v>
      </c>
      <c r="D154" s="69">
        <v>2</v>
      </c>
      <c r="E154" s="105">
        <v>100</v>
      </c>
      <c r="F154" s="70">
        <f t="shared" si="28"/>
        <v>1000</v>
      </c>
      <c r="G154" s="1425">
        <f t="shared" si="29"/>
        <v>228</v>
      </c>
      <c r="H154" s="1434"/>
      <c r="I154" s="69"/>
      <c r="J154" s="69"/>
      <c r="K154" s="58"/>
      <c r="L154" s="58"/>
      <c r="M154" s="58"/>
      <c r="N154" s="75"/>
      <c r="O154" s="75"/>
      <c r="P154" s="60"/>
      <c r="Q154" s="1898"/>
      <c r="R154" s="1705"/>
      <c r="S154" s="1681"/>
      <c r="T154" s="1653"/>
    </row>
    <row r="155" spans="1:20" s="165" customFormat="1" ht="18" customHeight="1">
      <c r="A155" s="1564">
        <v>10</v>
      </c>
      <c r="B155" s="238" t="s">
        <v>1374</v>
      </c>
      <c r="C155" s="352" t="s">
        <v>318</v>
      </c>
      <c r="D155" s="352" t="s">
        <v>318</v>
      </c>
      <c r="E155" s="353" t="s">
        <v>318</v>
      </c>
      <c r="F155" s="354" t="s">
        <v>318</v>
      </c>
      <c r="G155" s="70"/>
      <c r="H155" s="229"/>
      <c r="I155" s="239">
        <v>0</v>
      </c>
      <c r="J155" s="239">
        <v>24</v>
      </c>
      <c r="K155" s="353">
        <v>150</v>
      </c>
      <c r="L155" s="59">
        <f>J155*K155</f>
        <v>3600</v>
      </c>
      <c r="M155" s="354"/>
      <c r="N155" s="355"/>
      <c r="O155" s="356"/>
      <c r="P155" s="355">
        <f>L155</f>
        <v>3600</v>
      </c>
      <c r="Q155" s="974" t="s">
        <v>541</v>
      </c>
      <c r="R155" s="1738"/>
      <c r="S155" s="1685"/>
      <c r="T155" s="1653"/>
    </row>
    <row r="156" spans="1:20" s="41" customFormat="1" ht="12.75" customHeight="1">
      <c r="A156" s="1565">
        <v>11</v>
      </c>
      <c r="B156" s="432" t="s">
        <v>277</v>
      </c>
      <c r="C156" s="42"/>
      <c r="D156" s="42"/>
      <c r="E156" s="43"/>
      <c r="F156" s="45"/>
      <c r="G156" s="100"/>
      <c r="H156" s="117" t="s">
        <v>318</v>
      </c>
      <c r="I156" s="42"/>
      <c r="J156" s="42">
        <v>30</v>
      </c>
      <c r="K156" s="43">
        <v>150</v>
      </c>
      <c r="L156" s="59">
        <f>J156*K156</f>
        <v>4500</v>
      </c>
      <c r="M156" s="44">
        <v>13000</v>
      </c>
      <c r="N156" s="44">
        <v>0</v>
      </c>
      <c r="O156" s="44"/>
      <c r="P156" s="79">
        <f>SUM(L156:N157)+F157+G157</f>
        <v>21231</v>
      </c>
      <c r="Q156" s="225"/>
      <c r="R156" s="1717"/>
      <c r="S156" s="1698" t="s">
        <v>644</v>
      </c>
      <c r="T156" s="1653"/>
    </row>
    <row r="157" spans="1:20" s="41" customFormat="1" ht="12.75" customHeight="1" thickBot="1">
      <c r="A157" s="1566" t="s">
        <v>318</v>
      </c>
      <c r="B157" s="432" t="s">
        <v>348</v>
      </c>
      <c r="C157" s="42">
        <v>1</v>
      </c>
      <c r="D157" s="42">
        <v>1</v>
      </c>
      <c r="E157" s="43">
        <v>1000</v>
      </c>
      <c r="F157" s="44">
        <v>1000</v>
      </c>
      <c r="G157" s="70">
        <f>ROUND(F157*0.231,0)</f>
        <v>231</v>
      </c>
      <c r="H157" s="117" t="s">
        <v>318</v>
      </c>
      <c r="I157" s="42"/>
      <c r="J157" s="42"/>
      <c r="K157" s="43"/>
      <c r="L157" s="44"/>
      <c r="M157" s="44">
        <v>2500</v>
      </c>
      <c r="N157" s="44"/>
      <c r="O157" s="44"/>
      <c r="P157" s="44"/>
      <c r="Q157" s="348"/>
      <c r="R157" s="1740"/>
      <c r="S157" s="1698" t="s">
        <v>643</v>
      </c>
      <c r="T157" s="1653"/>
    </row>
    <row r="158" spans="1:19" s="4" customFormat="1" ht="20.25" customHeight="1">
      <c r="A158" s="1006">
        <v>12</v>
      </c>
      <c r="B158" s="232" t="s">
        <v>668</v>
      </c>
      <c r="C158" s="76"/>
      <c r="D158" s="76"/>
      <c r="E158" s="56"/>
      <c r="F158" s="61"/>
      <c r="G158" s="1429"/>
      <c r="H158" s="1441"/>
      <c r="I158" s="76"/>
      <c r="J158" s="76">
        <v>20</v>
      </c>
      <c r="K158" s="56">
        <v>150</v>
      </c>
      <c r="L158" s="56">
        <f>J158*K158</f>
        <v>3000</v>
      </c>
      <c r="M158" s="56"/>
      <c r="N158" s="78"/>
      <c r="O158" s="78"/>
      <c r="P158" s="77">
        <f>F158+L158+M158+N158+G158</f>
        <v>3000</v>
      </c>
      <c r="Q158" s="427" t="s">
        <v>541</v>
      </c>
      <c r="R158" s="1705"/>
      <c r="S158" s="1681"/>
    </row>
    <row r="159" spans="1:19" s="453" customFormat="1" ht="20.25" customHeight="1">
      <c r="A159" s="1028">
        <v>13</v>
      </c>
      <c r="B159" s="232" t="s">
        <v>539</v>
      </c>
      <c r="C159" s="93">
        <v>6</v>
      </c>
      <c r="D159" s="93">
        <v>12</v>
      </c>
      <c r="E159" s="114">
        <v>220</v>
      </c>
      <c r="F159" s="92">
        <f>C159*D159*E159</f>
        <v>15840</v>
      </c>
      <c r="G159" s="92">
        <f>ROUND(F159*0.228,0)</f>
        <v>3612</v>
      </c>
      <c r="H159" s="231"/>
      <c r="I159" s="93"/>
      <c r="J159" s="93">
        <v>3</v>
      </c>
      <c r="K159" s="114">
        <v>250</v>
      </c>
      <c r="L159" s="114">
        <f>J159*K159</f>
        <v>750</v>
      </c>
      <c r="M159" s="114"/>
      <c r="N159" s="451"/>
      <c r="O159" s="451"/>
      <c r="P159" s="452">
        <f>F159+L159+M159+N159+G159</f>
        <v>20202</v>
      </c>
      <c r="Q159" s="1421" t="s">
        <v>326</v>
      </c>
      <c r="R159" s="1705"/>
      <c r="S159" s="1681"/>
    </row>
    <row r="160" spans="1:19" s="35" customFormat="1" ht="12.75">
      <c r="A160" s="806">
        <v>14</v>
      </c>
      <c r="B160" s="121" t="s">
        <v>605</v>
      </c>
      <c r="C160" s="106">
        <v>4</v>
      </c>
      <c r="D160" s="106">
        <v>1</v>
      </c>
      <c r="E160" s="121">
        <v>100</v>
      </c>
      <c r="F160" s="127">
        <f aca="true" t="shared" si="30" ref="F160:F165">C160*D160*E160</f>
        <v>400</v>
      </c>
      <c r="G160" s="1166">
        <f aca="true" t="shared" si="31" ref="G160:G165">F160*0.226</f>
        <v>90</v>
      </c>
      <c r="H160" s="1439"/>
      <c r="I160" s="846"/>
      <c r="J160" s="106">
        <v>8</v>
      </c>
      <c r="K160" s="121">
        <v>100</v>
      </c>
      <c r="L160" s="127">
        <f>J160*K160</f>
        <v>800</v>
      </c>
      <c r="M160" s="121"/>
      <c r="N160" s="121"/>
      <c r="O160" s="121"/>
      <c r="P160" s="122">
        <f>SUM(F160:G161,L160)</f>
        <v>1411</v>
      </c>
      <c r="Q160" s="415"/>
      <c r="R160" s="1741"/>
      <c r="S160" s="1689"/>
    </row>
    <row r="161" spans="1:19" s="35" customFormat="1" ht="12.75">
      <c r="A161" s="1345"/>
      <c r="B161" s="871" t="s">
        <v>1105</v>
      </c>
      <c r="C161" s="97">
        <v>1</v>
      </c>
      <c r="D161" s="97">
        <v>3</v>
      </c>
      <c r="E161" s="105">
        <v>33</v>
      </c>
      <c r="F161" s="105">
        <f t="shared" si="30"/>
        <v>99</v>
      </c>
      <c r="G161" s="1313">
        <f t="shared" si="31"/>
        <v>22</v>
      </c>
      <c r="H161" s="1440"/>
      <c r="I161" s="866"/>
      <c r="J161" s="97"/>
      <c r="K161" s="105"/>
      <c r="L161" s="105"/>
      <c r="M161" s="105"/>
      <c r="N161" s="105"/>
      <c r="O161" s="105"/>
      <c r="P161" s="105"/>
      <c r="Q161" s="415"/>
      <c r="R161" s="1741"/>
      <c r="S161" s="1689"/>
    </row>
    <row r="162" spans="1:19" s="35" customFormat="1" ht="12.75" customHeight="1">
      <c r="A162" s="1345">
        <v>15</v>
      </c>
      <c r="B162" s="105" t="s">
        <v>606</v>
      </c>
      <c r="C162" s="97">
        <v>3</v>
      </c>
      <c r="D162" s="97">
        <v>5</v>
      </c>
      <c r="E162" s="105">
        <v>100</v>
      </c>
      <c r="F162" s="105">
        <f t="shared" si="30"/>
        <v>1500</v>
      </c>
      <c r="G162" s="1313">
        <f t="shared" si="31"/>
        <v>339</v>
      </c>
      <c r="H162" s="1440"/>
      <c r="I162" s="866"/>
      <c r="J162" s="97">
        <v>10</v>
      </c>
      <c r="K162" s="105">
        <v>100</v>
      </c>
      <c r="L162" s="105">
        <f>J162*K162</f>
        <v>1000</v>
      </c>
      <c r="M162" s="105"/>
      <c r="N162" s="105"/>
      <c r="O162" s="105"/>
      <c r="P162" s="141">
        <f>SUM(F162:G162,L162)</f>
        <v>2839</v>
      </c>
      <c r="Q162" s="1816" t="s">
        <v>1084</v>
      </c>
      <c r="R162" s="1741"/>
      <c r="S162" s="1689"/>
    </row>
    <row r="163" spans="1:19" s="35" customFormat="1" ht="12.75" customHeight="1">
      <c r="A163" s="1356">
        <v>16</v>
      </c>
      <c r="B163" s="104" t="s">
        <v>607</v>
      </c>
      <c r="C163" s="85">
        <v>4</v>
      </c>
      <c r="D163" s="85">
        <v>1</v>
      </c>
      <c r="E163" s="104">
        <v>100</v>
      </c>
      <c r="F163" s="104">
        <f t="shared" si="30"/>
        <v>400</v>
      </c>
      <c r="G163" s="1313">
        <f t="shared" si="31"/>
        <v>90</v>
      </c>
      <c r="H163" s="1440"/>
      <c r="I163" s="866"/>
      <c r="J163" s="85">
        <v>14</v>
      </c>
      <c r="K163" s="104">
        <v>100</v>
      </c>
      <c r="L163" s="104">
        <f>J163*K163</f>
        <v>1400</v>
      </c>
      <c r="M163" s="105"/>
      <c r="N163" s="105"/>
      <c r="O163" s="105"/>
      <c r="P163" s="141">
        <f>SUM(F163:G163,L163)</f>
        <v>1890</v>
      </c>
      <c r="Q163" s="1816"/>
      <c r="R163" s="1741"/>
      <c r="S163" s="1689"/>
    </row>
    <row r="164" spans="1:19" s="35" customFormat="1" ht="12.75" customHeight="1" thickBot="1">
      <c r="A164" s="806">
        <v>17</v>
      </c>
      <c r="B164" s="121" t="s">
        <v>608</v>
      </c>
      <c r="C164" s="106">
        <v>4</v>
      </c>
      <c r="D164" s="106">
        <v>2</v>
      </c>
      <c r="E164" s="121">
        <v>100</v>
      </c>
      <c r="F164" s="121">
        <f t="shared" si="30"/>
        <v>800</v>
      </c>
      <c r="G164" s="846">
        <f t="shared" si="31"/>
        <v>181</v>
      </c>
      <c r="H164" s="1452"/>
      <c r="I164" s="846"/>
      <c r="J164" s="106">
        <v>12</v>
      </c>
      <c r="K164" s="121">
        <v>150</v>
      </c>
      <c r="L164" s="121">
        <f>J164*K164</f>
        <v>1800</v>
      </c>
      <c r="M164" s="121"/>
      <c r="N164" s="121"/>
      <c r="O164" s="121"/>
      <c r="P164" s="122">
        <f>SUM(F164:G164,L164)</f>
        <v>2781</v>
      </c>
      <c r="Q164" s="1817"/>
      <c r="R164" s="1741"/>
      <c r="S164" s="1689"/>
    </row>
    <row r="165" spans="1:19" s="31" customFormat="1" ht="12">
      <c r="A165" s="1006">
        <v>18</v>
      </c>
      <c r="B165" s="56" t="s">
        <v>621</v>
      </c>
      <c r="C165" s="102">
        <v>3</v>
      </c>
      <c r="D165" s="76">
        <v>1</v>
      </c>
      <c r="E165" s="56">
        <v>150</v>
      </c>
      <c r="F165" s="61">
        <f t="shared" si="30"/>
        <v>450</v>
      </c>
      <c r="G165" s="1430">
        <f t="shared" si="31"/>
        <v>102</v>
      </c>
      <c r="H165" s="1447"/>
      <c r="I165" s="1184"/>
      <c r="J165" s="76">
        <v>18</v>
      </c>
      <c r="K165" s="56">
        <v>150</v>
      </c>
      <c r="L165" s="61">
        <f>J165*K165</f>
        <v>2700</v>
      </c>
      <c r="M165" s="56"/>
      <c r="N165" s="56"/>
      <c r="O165" s="56"/>
      <c r="P165" s="86">
        <f>L165+F165+G165</f>
        <v>3252</v>
      </c>
      <c r="Q165" s="118" t="s">
        <v>1085</v>
      </c>
      <c r="R165" s="1711"/>
      <c r="S165" s="1685"/>
    </row>
    <row r="166" spans="1:21" ht="16.5" customHeight="1">
      <c r="A166" s="1356">
        <v>19</v>
      </c>
      <c r="B166" s="104" t="s">
        <v>349</v>
      </c>
      <c r="C166" s="85"/>
      <c r="D166" s="85"/>
      <c r="E166" s="104"/>
      <c r="F166" s="201"/>
      <c r="G166" s="1429"/>
      <c r="H166" s="1441"/>
      <c r="I166" s="85">
        <v>2</v>
      </c>
      <c r="J166" s="85">
        <v>15</v>
      </c>
      <c r="K166" s="104">
        <v>150</v>
      </c>
      <c r="L166" s="104">
        <f>J166*K166*I166</f>
        <v>4500</v>
      </c>
      <c r="M166" s="104"/>
      <c r="N166" s="104"/>
      <c r="O166" s="104"/>
      <c r="P166" s="104">
        <f>F166+L166+M166</f>
        <v>4500</v>
      </c>
      <c r="Q166" s="85"/>
      <c r="R166" s="1724" t="s">
        <v>1839</v>
      </c>
      <c r="S166" s="903"/>
      <c r="T166" s="139"/>
      <c r="U166" s="139"/>
    </row>
    <row r="167" spans="1:21" ht="12.75" customHeight="1">
      <c r="A167" s="1357">
        <v>20</v>
      </c>
      <c r="B167" s="203" t="s">
        <v>1474</v>
      </c>
      <c r="C167" s="106">
        <v>2</v>
      </c>
      <c r="D167" s="256">
        <v>7</v>
      </c>
      <c r="E167" s="106">
        <v>170</v>
      </c>
      <c r="F167" s="203">
        <f>C167*D167*E167</f>
        <v>2380</v>
      </c>
      <c r="G167" s="1167">
        <f>ROUND(F167*0.231,0)</f>
        <v>550</v>
      </c>
      <c r="H167" s="1433">
        <v>200</v>
      </c>
      <c r="I167" s="106">
        <v>1</v>
      </c>
      <c r="J167" s="106">
        <v>12</v>
      </c>
      <c r="K167" s="106">
        <v>200</v>
      </c>
      <c r="L167" s="203">
        <f>J167*K167*I167</f>
        <v>2400</v>
      </c>
      <c r="M167" s="106"/>
      <c r="N167" s="203"/>
      <c r="O167" s="203"/>
      <c r="P167" s="212">
        <f>SUM(F167:H171,L167:M171)</f>
        <v>15210</v>
      </c>
      <c r="Q167" s="106"/>
      <c r="R167" s="1707" t="s">
        <v>541</v>
      </c>
      <c r="S167" s="903" t="s">
        <v>1225</v>
      </c>
      <c r="T167" s="139"/>
      <c r="U167" s="139"/>
    </row>
    <row r="168" spans="1:21" ht="12.75" customHeight="1">
      <c r="A168" s="1357"/>
      <c r="B168" s="127" t="s">
        <v>1476</v>
      </c>
      <c r="C168" s="106">
        <v>4</v>
      </c>
      <c r="D168" s="256">
        <v>12</v>
      </c>
      <c r="E168" s="106">
        <v>90</v>
      </c>
      <c r="F168" s="127">
        <f>C168*D168*E168</f>
        <v>4320</v>
      </c>
      <c r="G168" s="1167">
        <f>ROUND(F168*0.231,0)</f>
        <v>998</v>
      </c>
      <c r="H168" s="1432"/>
      <c r="I168" s="106" t="s">
        <v>1598</v>
      </c>
      <c r="J168" s="106">
        <v>9</v>
      </c>
      <c r="K168" s="106">
        <v>50</v>
      </c>
      <c r="L168" s="127">
        <f aca="true" t="shared" si="32" ref="L168:L173">J168*K168</f>
        <v>450</v>
      </c>
      <c r="M168" s="106"/>
      <c r="N168" s="127"/>
      <c r="O168" s="127"/>
      <c r="P168" s="124"/>
      <c r="Q168" s="106"/>
      <c r="R168" s="1707"/>
      <c r="S168" s="903"/>
      <c r="T168" s="139"/>
      <c r="U168" s="139"/>
    </row>
    <row r="169" spans="1:21" ht="12.75" customHeight="1">
      <c r="A169" s="1357"/>
      <c r="B169" s="127" t="s">
        <v>1475</v>
      </c>
      <c r="C169" s="106">
        <v>2</v>
      </c>
      <c r="D169" s="256">
        <v>5</v>
      </c>
      <c r="E169" s="106">
        <v>170</v>
      </c>
      <c r="F169" s="127">
        <f>C169*D169*E169</f>
        <v>1700</v>
      </c>
      <c r="G169" s="1167">
        <f>ROUND(F169*0.231,0)</f>
        <v>393</v>
      </c>
      <c r="H169" s="1432"/>
      <c r="I169" s="106"/>
      <c r="J169" s="106"/>
      <c r="K169" s="106"/>
      <c r="L169" s="127">
        <f t="shared" si="32"/>
        <v>0</v>
      </c>
      <c r="M169" s="106"/>
      <c r="N169" s="127"/>
      <c r="O169" s="127"/>
      <c r="P169" s="124"/>
      <c r="Q169" s="106"/>
      <c r="R169" s="1707"/>
      <c r="S169" s="903"/>
      <c r="T169" s="139"/>
      <c r="U169" s="139"/>
    </row>
    <row r="170" spans="1:21" ht="12.75" customHeight="1">
      <c r="A170" s="1357"/>
      <c r="B170" s="127" t="s">
        <v>1420</v>
      </c>
      <c r="C170" s="106">
        <v>2</v>
      </c>
      <c r="D170" s="256">
        <v>15</v>
      </c>
      <c r="E170" s="106">
        <v>33</v>
      </c>
      <c r="F170" s="127">
        <f>C170*D170*E170</f>
        <v>990</v>
      </c>
      <c r="G170" s="1167">
        <f>ROUND(F170*0.231,0)</f>
        <v>229</v>
      </c>
      <c r="H170" s="1432"/>
      <c r="I170" s="106"/>
      <c r="J170" s="106"/>
      <c r="K170" s="106"/>
      <c r="L170" s="127">
        <f t="shared" si="32"/>
        <v>0</v>
      </c>
      <c r="M170" s="106"/>
      <c r="N170" s="127"/>
      <c r="O170" s="127"/>
      <c r="P170" s="124"/>
      <c r="Q170" s="106"/>
      <c r="R170" s="1707"/>
      <c r="S170" s="903"/>
      <c r="T170" s="139"/>
      <c r="U170" s="139"/>
    </row>
    <row r="171" spans="1:21" ht="12.75" customHeight="1">
      <c r="A171" s="1384"/>
      <c r="B171" s="98" t="s">
        <v>319</v>
      </c>
      <c r="C171" s="97"/>
      <c r="D171" s="1175"/>
      <c r="E171" s="97"/>
      <c r="F171" s="98">
        <f>C171*D171*E171</f>
        <v>0</v>
      </c>
      <c r="G171" s="1651">
        <v>0</v>
      </c>
      <c r="H171" s="1434"/>
      <c r="I171" s="97">
        <v>6</v>
      </c>
      <c r="J171" s="97">
        <v>4</v>
      </c>
      <c r="K171" s="97">
        <v>150</v>
      </c>
      <c r="L171" s="98">
        <f t="shared" si="32"/>
        <v>600</v>
      </c>
      <c r="M171" s="97"/>
      <c r="N171" s="98"/>
      <c r="O171" s="98"/>
      <c r="P171" s="143"/>
      <c r="Q171" s="97"/>
      <c r="R171" s="1713"/>
      <c r="S171" s="903"/>
      <c r="T171" s="139"/>
      <c r="U171" s="139"/>
    </row>
    <row r="172" spans="1:21" s="268" customFormat="1" ht="24.75" customHeight="1">
      <c r="A172" s="1387">
        <v>21</v>
      </c>
      <c r="B172" s="261" t="s">
        <v>883</v>
      </c>
      <c r="C172" s="327"/>
      <c r="D172" s="327"/>
      <c r="E172" s="261"/>
      <c r="F172" s="261"/>
      <c r="G172" s="1649">
        <f>ROUND(F172*0.228,0)</f>
        <v>0</v>
      </c>
      <c r="H172" s="1650"/>
      <c r="I172" s="327"/>
      <c r="J172" s="327">
        <v>15</v>
      </c>
      <c r="K172" s="261">
        <v>150</v>
      </c>
      <c r="L172" s="261">
        <f t="shared" si="32"/>
        <v>2250</v>
      </c>
      <c r="M172" s="261" t="s">
        <v>318</v>
      </c>
      <c r="N172" s="261"/>
      <c r="O172" s="261"/>
      <c r="P172" s="261">
        <f>L172</f>
        <v>2250</v>
      </c>
      <c r="Q172" s="327"/>
      <c r="R172" s="1658" t="s">
        <v>871</v>
      </c>
      <c r="S172" s="1173"/>
      <c r="T172" s="189"/>
      <c r="U172" s="189"/>
    </row>
    <row r="173" spans="1:21" ht="13.5" customHeight="1">
      <c r="A173" s="806">
        <v>22</v>
      </c>
      <c r="B173" s="121" t="s">
        <v>1171</v>
      </c>
      <c r="C173" s="106">
        <v>2</v>
      </c>
      <c r="D173" s="106">
        <v>8</v>
      </c>
      <c r="E173" s="121">
        <v>170</v>
      </c>
      <c r="F173" s="121">
        <f>C173*D173*E173</f>
        <v>2720</v>
      </c>
      <c r="G173" s="1428">
        <f>ROUND(F173*0.231,0)</f>
        <v>628</v>
      </c>
      <c r="H173" s="1432"/>
      <c r="I173" s="106"/>
      <c r="J173" s="106">
        <v>13</v>
      </c>
      <c r="K173" s="121">
        <v>150</v>
      </c>
      <c r="L173" s="121">
        <f t="shared" si="32"/>
        <v>1950</v>
      </c>
      <c r="M173" s="121"/>
      <c r="N173" s="121"/>
      <c r="O173" s="121"/>
      <c r="P173" s="122">
        <f>SUM(F173:G174,L173:M174)</f>
        <v>14108</v>
      </c>
      <c r="Q173" s="123"/>
      <c r="R173" s="1801" t="s">
        <v>1363</v>
      </c>
      <c r="S173" s="903"/>
      <c r="T173" s="139"/>
      <c r="U173" s="139"/>
    </row>
    <row r="174" spans="1:21" ht="13.5" thickBot="1">
      <c r="A174" s="806"/>
      <c r="B174" s="121" t="s">
        <v>319</v>
      </c>
      <c r="C174" s="106">
        <v>2</v>
      </c>
      <c r="D174" s="106">
        <v>8</v>
      </c>
      <c r="E174" s="121">
        <v>100</v>
      </c>
      <c r="F174" s="121">
        <f>C174*D174*E174</f>
        <v>1600</v>
      </c>
      <c r="G174" s="1428">
        <f>ROUND(F174*0.231,0)</f>
        <v>370</v>
      </c>
      <c r="H174" s="1432"/>
      <c r="I174" s="106">
        <v>2</v>
      </c>
      <c r="J174" s="106">
        <v>19</v>
      </c>
      <c r="K174" s="121">
        <v>180</v>
      </c>
      <c r="L174" s="121">
        <f>J174*K174*I174</f>
        <v>6840</v>
      </c>
      <c r="M174" s="121"/>
      <c r="N174" s="121"/>
      <c r="O174" s="121"/>
      <c r="P174" s="121"/>
      <c r="Q174" s="106"/>
      <c r="R174" s="1802"/>
      <c r="S174" s="903"/>
      <c r="T174" s="139"/>
      <c r="U174" s="139"/>
    </row>
    <row r="175" spans="1:23" s="732" customFormat="1" ht="12.75" customHeight="1" thickBot="1">
      <c r="A175" s="1358"/>
      <c r="B175" s="693" t="s">
        <v>1783</v>
      </c>
      <c r="C175" s="696"/>
      <c r="D175" s="696"/>
      <c r="E175" s="697"/>
      <c r="F175" s="731">
        <f aca="true" t="shared" si="33" ref="F175:O175">SUM(F144:F174)</f>
        <v>114419</v>
      </c>
      <c r="G175" s="731">
        <f t="shared" si="33"/>
        <v>26126</v>
      </c>
      <c r="H175" s="731">
        <f t="shared" si="33"/>
        <v>8848</v>
      </c>
      <c r="I175" s="731"/>
      <c r="J175" s="731"/>
      <c r="K175" s="731"/>
      <c r="L175" s="731">
        <f t="shared" si="33"/>
        <v>60890</v>
      </c>
      <c r="M175" s="731">
        <f t="shared" si="33"/>
        <v>23000</v>
      </c>
      <c r="N175" s="731">
        <f t="shared" si="33"/>
        <v>0</v>
      </c>
      <c r="O175" s="731">
        <f t="shared" si="33"/>
        <v>0</v>
      </c>
      <c r="P175" s="731">
        <f>SUM(P144:P174)</f>
        <v>233283</v>
      </c>
      <c r="Q175" s="731">
        <f>SUM(Q147:Q174)</f>
        <v>0</v>
      </c>
      <c r="R175" s="1719"/>
      <c r="S175" s="1422"/>
      <c r="T175" s="764">
        <f>SUM(F175:O175)</f>
        <v>233283</v>
      </c>
      <c r="U175" s="739"/>
      <c r="W175" s="733"/>
    </row>
    <row r="176" spans="1:21" ht="12.75">
      <c r="A176" s="1381" t="s">
        <v>318</v>
      </c>
      <c r="B176" s="1382" t="s">
        <v>140</v>
      </c>
      <c r="C176" s="178"/>
      <c r="D176" s="178"/>
      <c r="E176" s="220"/>
      <c r="F176" s="145"/>
      <c r="G176" s="1427"/>
      <c r="H176" s="1438"/>
      <c r="I176" s="178"/>
      <c r="J176" s="178"/>
      <c r="K176" s="220"/>
      <c r="L176" s="220"/>
      <c r="M176" s="220"/>
      <c r="N176" s="220"/>
      <c r="O176" s="220"/>
      <c r="P176" s="220"/>
      <c r="Q176" s="178"/>
      <c r="R176" s="1704"/>
      <c r="S176" s="903"/>
      <c r="T176" s="139"/>
      <c r="U176" s="139"/>
    </row>
    <row r="177" spans="1:21" ht="11.25" customHeight="1">
      <c r="A177" s="806">
        <v>1</v>
      </c>
      <c r="B177" s="121" t="s">
        <v>725</v>
      </c>
      <c r="C177" s="106">
        <v>3</v>
      </c>
      <c r="D177" s="106">
        <v>9</v>
      </c>
      <c r="E177" s="121">
        <v>170</v>
      </c>
      <c r="F177" s="121">
        <f>C177*D177*E177</f>
        <v>4590</v>
      </c>
      <c r="G177" s="1428">
        <f aca="true" t="shared" si="34" ref="G177:G186">ROUND(F177*0.231,0)</f>
        <v>1060</v>
      </c>
      <c r="H177" s="1432">
        <v>600</v>
      </c>
      <c r="I177" s="106">
        <v>3</v>
      </c>
      <c r="J177" s="106">
        <v>12</v>
      </c>
      <c r="K177" s="121">
        <v>150</v>
      </c>
      <c r="L177" s="121">
        <f>J177*K177*I177</f>
        <v>5400</v>
      </c>
      <c r="M177" s="121">
        <v>0</v>
      </c>
      <c r="N177" s="121"/>
      <c r="O177" s="121"/>
      <c r="P177" s="122">
        <f>SUM(F177:H181,L177:M181)</f>
        <v>37401</v>
      </c>
      <c r="Q177" s="123"/>
      <c r="R177" s="1706" t="s">
        <v>541</v>
      </c>
      <c r="S177" s="903" t="s">
        <v>1479</v>
      </c>
      <c r="T177" s="139"/>
      <c r="U177" s="139"/>
    </row>
    <row r="178" spans="1:21" ht="12.75">
      <c r="A178" s="806"/>
      <c r="B178" s="121" t="s">
        <v>1477</v>
      </c>
      <c r="C178" s="106">
        <v>3</v>
      </c>
      <c r="D178" s="106">
        <v>41</v>
      </c>
      <c r="E178" s="121">
        <v>110</v>
      </c>
      <c r="F178" s="121">
        <f>C178*D178*E178</f>
        <v>13530</v>
      </c>
      <c r="G178" s="1428">
        <f t="shared" si="34"/>
        <v>3125</v>
      </c>
      <c r="H178" s="1432"/>
      <c r="I178" s="106"/>
      <c r="J178" s="106"/>
      <c r="K178" s="121"/>
      <c r="L178" s="121">
        <f>J178*K178</f>
        <v>0</v>
      </c>
      <c r="M178" s="121"/>
      <c r="N178" s="121"/>
      <c r="O178" s="121"/>
      <c r="P178" s="122"/>
      <c r="Q178" s="123"/>
      <c r="R178" s="1706"/>
      <c r="S178" s="903"/>
      <c r="T178" s="139"/>
      <c r="U178" s="139"/>
    </row>
    <row r="179" spans="1:21" ht="12.75">
      <c r="A179" s="806"/>
      <c r="B179" s="121" t="s">
        <v>1478</v>
      </c>
      <c r="C179" s="106">
        <v>3</v>
      </c>
      <c r="D179" s="106">
        <v>7</v>
      </c>
      <c r="E179" s="121">
        <v>120</v>
      </c>
      <c r="F179" s="121">
        <f>C179*D179*E179</f>
        <v>2520</v>
      </c>
      <c r="G179" s="1428">
        <f t="shared" si="34"/>
        <v>582</v>
      </c>
      <c r="H179" s="1432"/>
      <c r="I179" s="106"/>
      <c r="J179" s="106"/>
      <c r="K179" s="121"/>
      <c r="L179" s="121">
        <f>J179*K179</f>
        <v>0</v>
      </c>
      <c r="M179" s="121"/>
      <c r="N179" s="121"/>
      <c r="O179" s="121"/>
      <c r="P179" s="122"/>
      <c r="Q179" s="123"/>
      <c r="R179" s="1706" t="s">
        <v>318</v>
      </c>
      <c r="S179" s="903"/>
      <c r="T179" s="139"/>
      <c r="U179" s="139"/>
    </row>
    <row r="180" spans="1:21" ht="12.75">
      <c r="A180" s="806"/>
      <c r="B180" s="127" t="s">
        <v>1224</v>
      </c>
      <c r="C180" s="106">
        <v>1</v>
      </c>
      <c r="D180" s="106">
        <v>54</v>
      </c>
      <c r="E180" s="121">
        <v>33</v>
      </c>
      <c r="F180" s="121">
        <f>C180*D180*E180</f>
        <v>1782</v>
      </c>
      <c r="G180" s="1428">
        <f t="shared" si="34"/>
        <v>412</v>
      </c>
      <c r="H180" s="1432"/>
      <c r="I180" s="106"/>
      <c r="J180" s="106"/>
      <c r="K180" s="121"/>
      <c r="L180" s="121">
        <f>J180*K180</f>
        <v>0</v>
      </c>
      <c r="M180" s="121"/>
      <c r="N180" s="121"/>
      <c r="O180" s="121"/>
      <c r="P180" s="122"/>
      <c r="Q180" s="123"/>
      <c r="R180" s="1706"/>
      <c r="S180" s="903"/>
      <c r="T180" s="139"/>
      <c r="U180" s="139"/>
    </row>
    <row r="181" spans="1:21" ht="24">
      <c r="A181" s="806"/>
      <c r="B181" s="121" t="s">
        <v>319</v>
      </c>
      <c r="C181" s="106"/>
      <c r="D181" s="106"/>
      <c r="E181" s="121"/>
      <c r="F181" s="121"/>
      <c r="G181" s="1428">
        <f t="shared" si="34"/>
        <v>0</v>
      </c>
      <c r="H181" s="1432"/>
      <c r="I181" s="106">
        <v>2</v>
      </c>
      <c r="J181" s="106">
        <v>19</v>
      </c>
      <c r="K181" s="121">
        <v>100</v>
      </c>
      <c r="L181" s="121">
        <f>J181*K181*I181</f>
        <v>3800</v>
      </c>
      <c r="M181" s="121"/>
      <c r="N181" s="121"/>
      <c r="O181" s="121"/>
      <c r="P181" s="121"/>
      <c r="Q181" s="106"/>
      <c r="R181" s="1707" t="s">
        <v>284</v>
      </c>
      <c r="S181" s="903"/>
      <c r="T181" s="139"/>
      <c r="U181" s="139"/>
    </row>
    <row r="182" spans="1:21" s="268" customFormat="1" ht="24.75" customHeight="1">
      <c r="A182" s="1264">
        <v>2</v>
      </c>
      <c r="B182" s="252" t="s">
        <v>1481</v>
      </c>
      <c r="C182" s="251">
        <v>2</v>
      </c>
      <c r="D182" s="251">
        <v>8</v>
      </c>
      <c r="E182" s="250">
        <v>170</v>
      </c>
      <c r="F182" s="1568">
        <f>C182*E182*D182</f>
        <v>2720</v>
      </c>
      <c r="G182" s="74">
        <f t="shared" si="34"/>
        <v>628</v>
      </c>
      <c r="H182" s="462">
        <v>480</v>
      </c>
      <c r="I182" s="251">
        <v>2</v>
      </c>
      <c r="J182" s="251">
        <v>12</v>
      </c>
      <c r="K182" s="250">
        <v>200</v>
      </c>
      <c r="L182" s="250">
        <f>I182*J182*K182</f>
        <v>4800</v>
      </c>
      <c r="M182" s="250"/>
      <c r="N182" s="250"/>
      <c r="O182" s="250"/>
      <c r="P182" s="257">
        <f>SUM(F182:H186,L182:M186)</f>
        <v>32822</v>
      </c>
      <c r="Q182" s="190"/>
      <c r="R182" s="1753" t="s">
        <v>541</v>
      </c>
      <c r="S182" s="906" t="s">
        <v>318</v>
      </c>
      <c r="T182" s="189"/>
      <c r="U182" s="189"/>
    </row>
    <row r="183" spans="1:21" ht="18" customHeight="1">
      <c r="A183" s="806"/>
      <c r="B183" s="127" t="s">
        <v>1482</v>
      </c>
      <c r="C183" s="106">
        <v>3</v>
      </c>
      <c r="D183" s="106">
        <v>30</v>
      </c>
      <c r="E183" s="121">
        <v>90</v>
      </c>
      <c r="F183" s="276">
        <f>C183*E183*D183</f>
        <v>8100</v>
      </c>
      <c r="G183" s="79">
        <f t="shared" si="34"/>
        <v>1871</v>
      </c>
      <c r="H183" s="81"/>
      <c r="I183" s="106" t="s">
        <v>1598</v>
      </c>
      <c r="J183" s="106">
        <v>12</v>
      </c>
      <c r="K183" s="121">
        <v>50</v>
      </c>
      <c r="L183" s="242">
        <f>J183*K183</f>
        <v>600</v>
      </c>
      <c r="M183" s="121"/>
      <c r="N183" s="121"/>
      <c r="O183" s="121"/>
      <c r="P183" s="127"/>
      <c r="Q183" s="106"/>
      <c r="R183" s="1708"/>
      <c r="S183" s="903" t="s">
        <v>83</v>
      </c>
      <c r="T183" s="139"/>
      <c r="U183" s="139"/>
    </row>
    <row r="184" spans="1:21" ht="12.75">
      <c r="A184" s="806"/>
      <c r="B184" s="127" t="s">
        <v>1480</v>
      </c>
      <c r="C184" s="106">
        <v>2</v>
      </c>
      <c r="D184" s="106">
        <v>8</v>
      </c>
      <c r="E184" s="121">
        <v>120</v>
      </c>
      <c r="F184" s="276">
        <f>C184*E184*D184</f>
        <v>1920</v>
      </c>
      <c r="G184" s="79">
        <f t="shared" si="34"/>
        <v>444</v>
      </c>
      <c r="H184" s="81"/>
      <c r="I184" s="106"/>
      <c r="J184" s="106"/>
      <c r="K184" s="121"/>
      <c r="L184" s="242">
        <f>J184*K184</f>
        <v>0</v>
      </c>
      <c r="M184" s="121"/>
      <c r="N184" s="121"/>
      <c r="O184" s="121"/>
      <c r="P184" s="127"/>
      <c r="Q184" s="106"/>
      <c r="R184" s="1708"/>
      <c r="S184" s="903"/>
      <c r="T184" s="139"/>
      <c r="U184" s="139"/>
    </row>
    <row r="185" spans="1:21" ht="12.75">
      <c r="A185" s="806"/>
      <c r="B185" s="127" t="s">
        <v>1420</v>
      </c>
      <c r="C185" s="106">
        <v>1</v>
      </c>
      <c r="D185" s="106">
        <v>30</v>
      </c>
      <c r="E185" s="121">
        <v>33</v>
      </c>
      <c r="F185" s="276">
        <f>C185*E185*D185</f>
        <v>990</v>
      </c>
      <c r="G185" s="79">
        <f t="shared" si="34"/>
        <v>229</v>
      </c>
      <c r="H185" s="81"/>
      <c r="I185" s="106"/>
      <c r="J185" s="106"/>
      <c r="K185" s="121"/>
      <c r="L185" s="242">
        <f>J185*K185</f>
        <v>0</v>
      </c>
      <c r="M185" s="121"/>
      <c r="N185" s="121"/>
      <c r="O185" s="121"/>
      <c r="P185" s="127"/>
      <c r="Q185" s="106"/>
      <c r="R185" s="1708"/>
      <c r="S185" s="903"/>
      <c r="T185" s="139"/>
      <c r="U185" s="139"/>
    </row>
    <row r="186" spans="1:21" ht="12.75">
      <c r="A186" s="806"/>
      <c r="B186" s="98" t="s">
        <v>319</v>
      </c>
      <c r="C186" s="97">
        <v>15</v>
      </c>
      <c r="D186" s="97">
        <v>3</v>
      </c>
      <c r="E186" s="105">
        <v>100</v>
      </c>
      <c r="F186" s="1569">
        <f>C186*E186*D186</f>
        <v>4500</v>
      </c>
      <c r="G186" s="71">
        <f t="shared" si="34"/>
        <v>1040</v>
      </c>
      <c r="H186" s="81"/>
      <c r="I186" s="106">
        <v>3</v>
      </c>
      <c r="J186" s="106">
        <v>15</v>
      </c>
      <c r="K186" s="121">
        <v>100</v>
      </c>
      <c r="L186" s="242">
        <f>J186*K186*I186</f>
        <v>4500</v>
      </c>
      <c r="M186" s="121"/>
      <c r="N186" s="121"/>
      <c r="O186" s="121"/>
      <c r="P186" s="127"/>
      <c r="Q186" s="106"/>
      <c r="R186" s="1730"/>
      <c r="S186" s="903"/>
      <c r="T186" s="139"/>
      <c r="U186" s="139"/>
    </row>
    <row r="187" spans="1:19" s="4" customFormat="1" ht="22.5" customHeight="1">
      <c r="A187" s="1006">
        <v>3</v>
      </c>
      <c r="B187" s="232" t="s">
        <v>322</v>
      </c>
      <c r="C187" s="76">
        <v>16</v>
      </c>
      <c r="D187" s="76">
        <v>7</v>
      </c>
      <c r="E187" s="56">
        <v>100</v>
      </c>
      <c r="F187" s="61">
        <f>C187*D187*E187</f>
        <v>11200</v>
      </c>
      <c r="G187" s="1429">
        <f>ROUND(F187*0.228,0)</f>
        <v>2554</v>
      </c>
      <c r="H187" s="1441"/>
      <c r="I187" s="76"/>
      <c r="J187" s="76">
        <v>10</v>
      </c>
      <c r="K187" s="56">
        <v>150</v>
      </c>
      <c r="L187" s="56">
        <f aca="true" t="shared" si="35" ref="L187:L194">J187*K187</f>
        <v>1500</v>
      </c>
      <c r="M187" s="56"/>
      <c r="N187" s="78"/>
      <c r="O187" s="78"/>
      <c r="P187" s="77">
        <f>F187+L187+M187+N187+G187</f>
        <v>15254</v>
      </c>
      <c r="Q187" s="1557" t="s">
        <v>541</v>
      </c>
      <c r="R187" s="1754" t="s">
        <v>541</v>
      </c>
      <c r="S187" s="1681"/>
    </row>
    <row r="188" spans="1:21" s="268" customFormat="1" ht="22.5" customHeight="1" thickBot="1">
      <c r="A188" s="1390">
        <v>4</v>
      </c>
      <c r="B188" s="449" t="s">
        <v>1516</v>
      </c>
      <c r="C188" s="1391"/>
      <c r="D188" s="1391"/>
      <c r="E188" s="1392"/>
      <c r="F188" s="1393"/>
      <c r="G188" s="1431">
        <f>ROUND(F188*0.231,0)</f>
        <v>0</v>
      </c>
      <c r="H188" s="1454"/>
      <c r="I188" s="1391"/>
      <c r="J188" s="1391">
        <v>18</v>
      </c>
      <c r="K188" s="1392">
        <v>150</v>
      </c>
      <c r="L188" s="1392">
        <f>J188*K188</f>
        <v>2700</v>
      </c>
      <c r="M188" s="1392"/>
      <c r="N188" s="1392"/>
      <c r="O188" s="1392"/>
      <c r="P188" s="1394">
        <f>SUM(F188:G188,L188:M188)</f>
        <v>2700</v>
      </c>
      <c r="Q188" s="1391"/>
      <c r="R188" s="1742" t="s">
        <v>541</v>
      </c>
      <c r="S188" s="906"/>
      <c r="T188" s="189"/>
      <c r="U188" s="189"/>
    </row>
    <row r="189" spans="1:19" s="453" customFormat="1" ht="22.5" customHeight="1">
      <c r="A189" s="1028">
        <v>5</v>
      </c>
      <c r="B189" s="410" t="s">
        <v>1833</v>
      </c>
      <c r="C189" s="352">
        <v>10</v>
      </c>
      <c r="D189" s="352">
        <v>2</v>
      </c>
      <c r="E189" s="353">
        <v>150</v>
      </c>
      <c r="F189" s="60">
        <f>C189*D189*E189</f>
        <v>3000</v>
      </c>
      <c r="G189" s="1425">
        <f>ROUND(F189*0.228,0)</f>
        <v>684</v>
      </c>
      <c r="H189" s="1434"/>
      <c r="I189" s="352"/>
      <c r="J189" s="352">
        <v>26</v>
      </c>
      <c r="K189" s="353">
        <v>150</v>
      </c>
      <c r="L189" s="353">
        <f t="shared" si="35"/>
        <v>3900</v>
      </c>
      <c r="M189" s="353"/>
      <c r="N189" s="1205">
        <v>0</v>
      </c>
      <c r="O189" s="1205"/>
      <c r="P189" s="356">
        <f>F189+L189+M189+N189+G189</f>
        <v>7584</v>
      </c>
      <c r="Q189" s="1208"/>
      <c r="R189" s="1705"/>
      <c r="S189" s="1681"/>
    </row>
    <row r="190" spans="1:19" s="453" customFormat="1" ht="22.5" customHeight="1">
      <c r="A190" s="1562">
        <v>6</v>
      </c>
      <c r="B190" s="417" t="s">
        <v>667</v>
      </c>
      <c r="C190" s="455"/>
      <c r="D190" s="455"/>
      <c r="E190" s="456"/>
      <c r="F190" s="676"/>
      <c r="G190" s="1428"/>
      <c r="H190" s="1432"/>
      <c r="I190" s="455"/>
      <c r="J190" s="455">
        <v>17</v>
      </c>
      <c r="K190" s="456">
        <v>150</v>
      </c>
      <c r="L190" s="456">
        <f t="shared" si="35"/>
        <v>2550</v>
      </c>
      <c r="M190" s="456"/>
      <c r="N190" s="461">
        <v>3000</v>
      </c>
      <c r="O190" s="461"/>
      <c r="P190" s="458">
        <f>F190+L190+M190+N190+G190</f>
        <v>5550</v>
      </c>
      <c r="Q190" s="423"/>
      <c r="R190" s="1710"/>
      <c r="S190" s="1684" t="s">
        <v>680</v>
      </c>
    </row>
    <row r="191" spans="1:21" s="268" customFormat="1" ht="24.75" customHeight="1">
      <c r="A191" s="1346">
        <v>7</v>
      </c>
      <c r="B191" s="264" t="s">
        <v>884</v>
      </c>
      <c r="C191" s="266">
        <v>0</v>
      </c>
      <c r="D191" s="266">
        <v>0</v>
      </c>
      <c r="E191" s="265">
        <v>0</v>
      </c>
      <c r="F191" s="264">
        <f>C191*D191*E191</f>
        <v>0</v>
      </c>
      <c r="G191" s="1429">
        <f>ROUND(F191*0.231,0)</f>
        <v>0</v>
      </c>
      <c r="H191" s="274"/>
      <c r="I191" s="266"/>
      <c r="J191" s="266">
        <v>15</v>
      </c>
      <c r="K191" s="265">
        <v>150</v>
      </c>
      <c r="L191" s="265">
        <f>J191*K191</f>
        <v>2250</v>
      </c>
      <c r="M191" s="265"/>
      <c r="N191" s="265"/>
      <c r="O191" s="265"/>
      <c r="P191" s="329">
        <f>F191+L191+M9+G191</f>
        <v>2250</v>
      </c>
      <c r="Q191" s="327"/>
      <c r="R191" s="1658" t="s">
        <v>541</v>
      </c>
      <c r="S191" s="1173"/>
      <c r="T191" s="189"/>
      <c r="U191" s="189"/>
    </row>
    <row r="192" spans="1:19" s="453" customFormat="1" ht="16.5" customHeight="1">
      <c r="A192" s="1577">
        <v>8</v>
      </c>
      <c r="B192" s="1812" t="s">
        <v>214</v>
      </c>
      <c r="C192" s="455">
        <v>2</v>
      </c>
      <c r="D192" s="455">
        <v>6</v>
      </c>
      <c r="E192" s="455">
        <v>220</v>
      </c>
      <c r="F192" s="457">
        <f>C192*D192*E192</f>
        <v>2640</v>
      </c>
      <c r="G192" s="455">
        <f>ROUND(F192*0.226,0)</f>
        <v>597</v>
      </c>
      <c r="H192" s="430">
        <v>1000</v>
      </c>
      <c r="I192" s="455"/>
      <c r="J192" s="455">
        <v>23</v>
      </c>
      <c r="K192" s="455">
        <v>350</v>
      </c>
      <c r="L192" s="457">
        <f>J192*K192</f>
        <v>8050</v>
      </c>
      <c r="M192" s="455"/>
      <c r="N192" s="459"/>
      <c r="O192" s="461"/>
      <c r="P192" s="462">
        <f>F192+G192+H192+H193+L192+L193</f>
        <v>14587</v>
      </c>
      <c r="Q192" s="1760"/>
      <c r="R192" s="1743"/>
      <c r="S192" s="1680" t="s">
        <v>215</v>
      </c>
    </row>
    <row r="193" spans="1:19" s="453" customFormat="1" ht="16.5" customHeight="1">
      <c r="A193" s="1578"/>
      <c r="B193" s="1813"/>
      <c r="C193" s="352"/>
      <c r="D193" s="352"/>
      <c r="E193" s="352"/>
      <c r="F193" s="354"/>
      <c r="G193" s="352"/>
      <c r="H193" s="367">
        <v>300</v>
      </c>
      <c r="I193" s="352"/>
      <c r="J193" s="352">
        <v>1</v>
      </c>
      <c r="K193" s="352">
        <v>2000</v>
      </c>
      <c r="L193" s="354">
        <f>J193*K193</f>
        <v>2000</v>
      </c>
      <c r="M193" s="352"/>
      <c r="N193" s="464"/>
      <c r="O193" s="1205"/>
      <c r="P193" s="356"/>
      <c r="Q193" s="1761"/>
      <c r="R193" s="1744"/>
      <c r="S193" s="1680" t="s">
        <v>216</v>
      </c>
    </row>
    <row r="194" spans="1:19" s="4" customFormat="1" ht="22.5" customHeight="1">
      <c r="A194" s="1359">
        <v>9</v>
      </c>
      <c r="B194" s="410" t="s">
        <v>1557</v>
      </c>
      <c r="C194" s="69">
        <v>2</v>
      </c>
      <c r="D194" s="69">
        <v>1</v>
      </c>
      <c r="E194" s="69">
        <v>150</v>
      </c>
      <c r="F194" s="60">
        <f>C194*D194*E194</f>
        <v>300</v>
      </c>
      <c r="G194" s="1425">
        <f>ROUND(F194*0.226,0)</f>
        <v>68</v>
      </c>
      <c r="H194" s="1434"/>
      <c r="I194" s="69"/>
      <c r="J194" s="69">
        <v>1</v>
      </c>
      <c r="K194" s="58">
        <v>150</v>
      </c>
      <c r="L194" s="58">
        <f t="shared" si="35"/>
        <v>150</v>
      </c>
      <c r="M194" s="58"/>
      <c r="N194" s="75"/>
      <c r="O194" s="75"/>
      <c r="P194" s="84">
        <f>F194+L194+M194+N194+G194</f>
        <v>518</v>
      </c>
      <c r="Q194" s="1557"/>
      <c r="R194" s="1759"/>
      <c r="S194" s="1681"/>
    </row>
    <row r="195" spans="1:21" ht="16.5" customHeight="1">
      <c r="A195" s="806">
        <v>10</v>
      </c>
      <c r="B195" s="121" t="s">
        <v>1172</v>
      </c>
      <c r="C195" s="106">
        <v>2</v>
      </c>
      <c r="D195" s="106">
        <v>8</v>
      </c>
      <c r="E195" s="121">
        <v>170</v>
      </c>
      <c r="F195" s="121">
        <f>C195*D195*E195</f>
        <v>2720</v>
      </c>
      <c r="G195" s="1428">
        <f>ROUND(F195*0.231,0)</f>
        <v>628</v>
      </c>
      <c r="H195" s="1432"/>
      <c r="I195" s="106"/>
      <c r="J195" s="106">
        <v>11</v>
      </c>
      <c r="K195" s="121">
        <v>150</v>
      </c>
      <c r="L195" s="121">
        <f>J195*K195</f>
        <v>1650</v>
      </c>
      <c r="M195" s="121"/>
      <c r="N195" s="121"/>
      <c r="O195" s="121"/>
      <c r="P195" s="122">
        <f>SUM(F195:G197,L195:L197)</f>
        <v>12471</v>
      </c>
      <c r="Q195" s="123"/>
      <c r="R195" s="1798" t="s">
        <v>1002</v>
      </c>
      <c r="S195" s="903"/>
      <c r="T195" s="139"/>
      <c r="U195" s="139"/>
    </row>
    <row r="196" spans="1:21" ht="16.5" customHeight="1">
      <c r="A196" s="806"/>
      <c r="B196" s="121" t="s">
        <v>1480</v>
      </c>
      <c r="C196" s="106">
        <v>2</v>
      </c>
      <c r="D196" s="106">
        <v>6</v>
      </c>
      <c r="E196" s="121">
        <v>120</v>
      </c>
      <c r="F196" s="121">
        <f>C196*D196*E196</f>
        <v>1440</v>
      </c>
      <c r="G196" s="1428">
        <f>ROUND(F196*0.231,0)</f>
        <v>333</v>
      </c>
      <c r="H196" s="1432"/>
      <c r="I196" s="106"/>
      <c r="J196" s="106"/>
      <c r="K196" s="121"/>
      <c r="L196" s="121">
        <f>J196*K196</f>
        <v>0</v>
      </c>
      <c r="M196" s="121"/>
      <c r="N196" s="121"/>
      <c r="O196" s="121"/>
      <c r="P196" s="122"/>
      <c r="Q196" s="123"/>
      <c r="R196" s="1799"/>
      <c r="S196" s="903"/>
      <c r="T196" s="139"/>
      <c r="U196" s="139"/>
    </row>
    <row r="197" spans="1:21" ht="16.5" customHeight="1">
      <c r="A197" s="1345"/>
      <c r="B197" s="105" t="s">
        <v>319</v>
      </c>
      <c r="C197" s="97"/>
      <c r="D197" s="97"/>
      <c r="E197" s="105"/>
      <c r="F197" s="275"/>
      <c r="G197" s="1428">
        <f>ROUND(F197*0.231,0)</f>
        <v>0</v>
      </c>
      <c r="H197" s="1432"/>
      <c r="I197" s="106">
        <v>2</v>
      </c>
      <c r="J197" s="106">
        <v>19</v>
      </c>
      <c r="K197" s="121">
        <v>150</v>
      </c>
      <c r="L197" s="121">
        <f>J197*K197*I197</f>
        <v>5700</v>
      </c>
      <c r="M197" s="121"/>
      <c r="N197" s="121"/>
      <c r="O197" s="121"/>
      <c r="P197" s="121"/>
      <c r="Q197" s="97"/>
      <c r="R197" s="1800"/>
      <c r="S197" s="903"/>
      <c r="T197" s="139"/>
      <c r="U197" s="139"/>
    </row>
    <row r="198" spans="1:19" s="35" customFormat="1" ht="12.75" customHeight="1">
      <c r="A198" s="1345">
        <v>7</v>
      </c>
      <c r="B198" s="96" t="s">
        <v>609</v>
      </c>
      <c r="C198" s="85">
        <v>1</v>
      </c>
      <c r="D198" s="85">
        <v>2</v>
      </c>
      <c r="E198" s="104">
        <v>100</v>
      </c>
      <c r="F198" s="104">
        <f>C198*D198*E198</f>
        <v>200</v>
      </c>
      <c r="G198" s="1339">
        <f>F198*0.226</f>
        <v>45</v>
      </c>
      <c r="H198" s="1445"/>
      <c r="I198" s="1311"/>
      <c r="J198" s="85">
        <v>9</v>
      </c>
      <c r="K198" s="104">
        <v>100</v>
      </c>
      <c r="L198" s="104">
        <f>J198*K198</f>
        <v>900</v>
      </c>
      <c r="M198" s="104"/>
      <c r="N198" s="104"/>
      <c r="O198" s="104"/>
      <c r="P198" s="216">
        <f>F198+L198+G198</f>
        <v>1145</v>
      </c>
      <c r="Q198" s="1894" t="s">
        <v>1084</v>
      </c>
      <c r="R198" s="1746"/>
      <c r="S198" s="1689"/>
    </row>
    <row r="199" spans="1:19" s="35" customFormat="1" ht="12.75" customHeight="1">
      <c r="A199" s="1356">
        <v>8</v>
      </c>
      <c r="B199" s="96" t="s">
        <v>610</v>
      </c>
      <c r="C199" s="85">
        <v>1</v>
      </c>
      <c r="D199" s="85">
        <v>2</v>
      </c>
      <c r="E199" s="104">
        <v>100</v>
      </c>
      <c r="F199" s="104">
        <f>C199*D199*E199</f>
        <v>200</v>
      </c>
      <c r="G199" s="1313">
        <f>F199*0.22</f>
        <v>44</v>
      </c>
      <c r="H199" s="1440"/>
      <c r="I199" s="866"/>
      <c r="J199" s="85">
        <v>5</v>
      </c>
      <c r="K199" s="104">
        <v>136</v>
      </c>
      <c r="L199" s="104">
        <f>J199*K199</f>
        <v>680</v>
      </c>
      <c r="M199" s="104"/>
      <c r="N199" s="104"/>
      <c r="O199" s="104"/>
      <c r="P199" s="216">
        <f>F199+L199+G199</f>
        <v>924</v>
      </c>
      <c r="Q199" s="1895" t="s">
        <v>1084</v>
      </c>
      <c r="R199" s="1747"/>
      <c r="S199" s="1689"/>
    </row>
    <row r="200" spans="1:19" s="35" customFormat="1" ht="12.75" customHeight="1">
      <c r="A200" s="806">
        <v>9</v>
      </c>
      <c r="B200" s="127" t="s">
        <v>611</v>
      </c>
      <c r="C200" s="106">
        <v>3</v>
      </c>
      <c r="D200" s="106">
        <v>4</v>
      </c>
      <c r="E200" s="121">
        <v>100</v>
      </c>
      <c r="F200" s="121">
        <f>C200*D200*E200</f>
        <v>1200</v>
      </c>
      <c r="G200" s="846">
        <f>F200*0.226</f>
        <v>271</v>
      </c>
      <c r="H200" s="1439"/>
      <c r="I200" s="846"/>
      <c r="J200" s="106"/>
      <c r="K200" s="121"/>
      <c r="L200" s="121"/>
      <c r="M200" s="121"/>
      <c r="N200" s="121"/>
      <c r="O200" s="121"/>
      <c r="P200" s="122"/>
      <c r="Q200" s="1816"/>
      <c r="R200" s="1741"/>
      <c r="S200" s="1689"/>
    </row>
    <row r="201" spans="1:19" s="35" customFormat="1" ht="12.75">
      <c r="A201" s="806" t="s">
        <v>318</v>
      </c>
      <c r="B201" s="98" t="s">
        <v>1106</v>
      </c>
      <c r="C201" s="97">
        <v>1</v>
      </c>
      <c r="D201" s="97">
        <v>8</v>
      </c>
      <c r="E201" s="105">
        <v>33</v>
      </c>
      <c r="F201" s="105">
        <f>C201*D201*E201</f>
        <v>264</v>
      </c>
      <c r="G201" s="866">
        <f>F201*0.226</f>
        <v>60</v>
      </c>
      <c r="H201" s="1440"/>
      <c r="I201" s="866"/>
      <c r="J201" s="97">
        <v>10</v>
      </c>
      <c r="K201" s="105">
        <v>100</v>
      </c>
      <c r="L201" s="105">
        <f>J201*K201</f>
        <v>1000</v>
      </c>
      <c r="M201" s="105"/>
      <c r="N201" s="105"/>
      <c r="O201" s="105"/>
      <c r="P201" s="141">
        <f>SUM(F200:G201,L201)</f>
        <v>2795</v>
      </c>
      <c r="Q201" s="1896" t="s">
        <v>1084</v>
      </c>
      <c r="R201" s="1748"/>
      <c r="S201" s="1689"/>
    </row>
    <row r="202" spans="1:23" s="732" customFormat="1" ht="12.75" customHeight="1" thickBot="1">
      <c r="A202" s="1388"/>
      <c r="B202" s="1389" t="s">
        <v>1783</v>
      </c>
      <c r="C202" s="1306"/>
      <c r="D202" s="1306"/>
      <c r="E202" s="970"/>
      <c r="F202" s="1305">
        <f aca="true" t="shared" si="36" ref="F202:O202">SUM(F177:F201)</f>
        <v>63816</v>
      </c>
      <c r="G202" s="1305">
        <f t="shared" si="36"/>
        <v>14675</v>
      </c>
      <c r="H202" s="1305">
        <f t="shared" si="36"/>
        <v>2380</v>
      </c>
      <c r="I202" s="1305"/>
      <c r="J202" s="1305"/>
      <c r="K202" s="1305"/>
      <c r="L202" s="1305">
        <f t="shared" si="36"/>
        <v>52130</v>
      </c>
      <c r="M202" s="1305">
        <f t="shared" si="36"/>
        <v>0</v>
      </c>
      <c r="N202" s="1305">
        <f t="shared" si="36"/>
        <v>3000</v>
      </c>
      <c r="O202" s="1305">
        <f t="shared" si="36"/>
        <v>0</v>
      </c>
      <c r="P202" s="1305">
        <f>SUM(P177:P201)</f>
        <v>136001</v>
      </c>
      <c r="Q202" s="1305">
        <f>SUM(Q177:Q197)</f>
        <v>0</v>
      </c>
      <c r="R202" s="1749"/>
      <c r="S202" s="1422"/>
      <c r="T202" s="764">
        <f>SUM(F202:N202)</f>
        <v>136001</v>
      </c>
      <c r="U202" s="739"/>
      <c r="W202" s="733"/>
    </row>
    <row r="203" spans="1:21" ht="12.75">
      <c r="A203" s="1381" t="s">
        <v>318</v>
      </c>
      <c r="B203" s="1382" t="s">
        <v>141</v>
      </c>
      <c r="C203" s="178"/>
      <c r="D203" s="178"/>
      <c r="E203" s="220"/>
      <c r="F203" s="220"/>
      <c r="G203" s="1427"/>
      <c r="H203" s="1438"/>
      <c r="I203" s="178"/>
      <c r="J203" s="178"/>
      <c r="K203" s="220"/>
      <c r="L203" s="220"/>
      <c r="M203" s="220"/>
      <c r="N203" s="220"/>
      <c r="O203" s="220"/>
      <c r="P203" s="220"/>
      <c r="Q203" s="178"/>
      <c r="R203" s="1704"/>
      <c r="S203" s="903"/>
      <c r="T203" s="139"/>
      <c r="U203" s="139"/>
    </row>
    <row r="204" spans="1:21" ht="15" customHeight="1">
      <c r="A204" s="806">
        <v>1</v>
      </c>
      <c r="B204" s="127" t="s">
        <v>1483</v>
      </c>
      <c r="C204" s="106">
        <v>10</v>
      </c>
      <c r="D204" s="106">
        <v>1</v>
      </c>
      <c r="E204" s="121">
        <v>170</v>
      </c>
      <c r="F204" s="122">
        <f>C204*D204*E204</f>
        <v>1700</v>
      </c>
      <c r="G204" s="1428">
        <f>ROUND(F204*0.231,0)</f>
        <v>393</v>
      </c>
      <c r="H204" s="1432">
        <v>300</v>
      </c>
      <c r="I204" s="106"/>
      <c r="J204" s="106">
        <v>9</v>
      </c>
      <c r="K204" s="121">
        <v>1500</v>
      </c>
      <c r="L204" s="121">
        <f aca="true" t="shared" si="37" ref="L204:L216">J204*K204</f>
        <v>13500</v>
      </c>
      <c r="M204" s="121">
        <v>9000</v>
      </c>
      <c r="N204" s="121"/>
      <c r="O204" s="121"/>
      <c r="P204" s="122">
        <f>SUM(F204:H206,L204:M206)</f>
        <v>34343</v>
      </c>
      <c r="Q204" s="106"/>
      <c r="R204" s="1707" t="s">
        <v>1362</v>
      </c>
      <c r="S204" s="903" t="s">
        <v>255</v>
      </c>
      <c r="T204" s="139"/>
      <c r="U204" s="139"/>
    </row>
    <row r="205" spans="1:21" ht="18" customHeight="1">
      <c r="A205" s="806"/>
      <c r="B205" s="127" t="s">
        <v>1484</v>
      </c>
      <c r="C205" s="106"/>
      <c r="D205" s="106"/>
      <c r="E205" s="121"/>
      <c r="F205" s="122"/>
      <c r="G205" s="1428">
        <f>ROUND(F205*0.231,0)</f>
        <v>0</v>
      </c>
      <c r="H205" s="1432"/>
      <c r="I205" s="106"/>
      <c r="J205" s="106">
        <v>15</v>
      </c>
      <c r="K205" s="121">
        <v>150</v>
      </c>
      <c r="L205" s="121">
        <f t="shared" si="37"/>
        <v>2250</v>
      </c>
      <c r="M205" s="121"/>
      <c r="N205" s="121"/>
      <c r="O205" s="121"/>
      <c r="P205" s="122"/>
      <c r="Q205" s="106"/>
      <c r="R205" s="1818" t="s">
        <v>872</v>
      </c>
      <c r="S205" s="903" t="s">
        <v>1485</v>
      </c>
      <c r="T205" s="139"/>
      <c r="U205" s="139"/>
    </row>
    <row r="206" spans="1:21" ht="18" customHeight="1">
      <c r="A206" s="1345"/>
      <c r="B206" s="675"/>
      <c r="C206" s="97">
        <v>0</v>
      </c>
      <c r="D206" s="97">
        <v>0</v>
      </c>
      <c r="E206" s="105">
        <v>0</v>
      </c>
      <c r="F206" s="143">
        <f>C206*D206*E206</f>
        <v>0</v>
      </c>
      <c r="G206" s="1425">
        <f>ROUND(F206*0.231,0)</f>
        <v>0</v>
      </c>
      <c r="H206" s="1434"/>
      <c r="I206" s="97"/>
      <c r="J206" s="97">
        <v>42</v>
      </c>
      <c r="K206" s="105">
        <v>100</v>
      </c>
      <c r="L206" s="105">
        <f t="shared" si="37"/>
        <v>4200</v>
      </c>
      <c r="M206" s="105">
        <v>3000</v>
      </c>
      <c r="N206" s="105"/>
      <c r="O206" s="105"/>
      <c r="P206" s="105"/>
      <c r="Q206" s="97"/>
      <c r="R206" s="1797"/>
      <c r="S206" s="903" t="s">
        <v>256</v>
      </c>
      <c r="T206" s="139"/>
      <c r="U206" s="139"/>
    </row>
    <row r="207" spans="1:19" s="453" customFormat="1" ht="24.75" customHeight="1">
      <c r="A207" s="1562">
        <v>2</v>
      </c>
      <c r="B207" s="417" t="s">
        <v>1497</v>
      </c>
      <c r="C207" s="455">
        <v>5</v>
      </c>
      <c r="D207" s="455">
        <v>10</v>
      </c>
      <c r="E207" s="456">
        <v>80</v>
      </c>
      <c r="F207" s="676">
        <f>C207*D207*E207</f>
        <v>4000</v>
      </c>
      <c r="G207" s="1425">
        <f>ROUND(F207*0.228,0)</f>
        <v>912</v>
      </c>
      <c r="H207" s="1432"/>
      <c r="I207" s="455"/>
      <c r="J207" s="455">
        <v>17</v>
      </c>
      <c r="K207" s="456">
        <v>150</v>
      </c>
      <c r="L207" s="456">
        <f>J207*K207</f>
        <v>2550</v>
      </c>
      <c r="M207" s="456"/>
      <c r="N207" s="461"/>
      <c r="O207" s="461"/>
      <c r="P207" s="95">
        <f>SUM(F207:G207,L207:L207)</f>
        <v>7462</v>
      </c>
      <c r="Q207" s="428"/>
      <c r="R207" s="1705"/>
      <c r="S207" s="1681"/>
    </row>
    <row r="208" spans="1:20" s="453" customFormat="1" ht="24" customHeight="1">
      <c r="A208" s="1567">
        <v>3</v>
      </c>
      <c r="B208" s="1186" t="s">
        <v>217</v>
      </c>
      <c r="C208" s="676">
        <v>2</v>
      </c>
      <c r="D208" s="455">
        <v>15</v>
      </c>
      <c r="E208" s="456">
        <v>200</v>
      </c>
      <c r="F208" s="457">
        <f>C208*D208*E208</f>
        <v>6000</v>
      </c>
      <c r="G208" s="676">
        <f>ROUND(F208*0.231,0)</f>
        <v>1386</v>
      </c>
      <c r="H208" s="231">
        <v>6000</v>
      </c>
      <c r="I208" s="67"/>
      <c r="J208" s="67">
        <v>3</v>
      </c>
      <c r="K208" s="57">
        <v>250</v>
      </c>
      <c r="L208" s="457">
        <f>J208*K208</f>
        <v>750</v>
      </c>
      <c r="M208" s="457"/>
      <c r="N208" s="459"/>
      <c r="O208" s="459"/>
      <c r="P208" s="458">
        <f>SUM(F208:H208,L208:L208)</f>
        <v>14136</v>
      </c>
      <c r="Q208" s="1521" t="s">
        <v>1623</v>
      </c>
      <c r="R208" s="1705"/>
      <c r="S208" s="1680" t="s">
        <v>218</v>
      </c>
      <c r="T208" s="453" t="s">
        <v>318</v>
      </c>
    </row>
    <row r="209" spans="1:19" s="4" customFormat="1" ht="15" customHeight="1">
      <c r="A209" s="1006">
        <v>4</v>
      </c>
      <c r="B209" s="232" t="s">
        <v>527</v>
      </c>
      <c r="C209" s="76">
        <v>3</v>
      </c>
      <c r="D209" s="76">
        <v>3</v>
      </c>
      <c r="E209" s="56">
        <v>180</v>
      </c>
      <c r="F209" s="94">
        <f>C209*D209*E209</f>
        <v>1620</v>
      </c>
      <c r="G209" s="92">
        <f>ROUND(F209*0.231,0)</f>
        <v>374</v>
      </c>
      <c r="H209" s="1434"/>
      <c r="I209" s="76"/>
      <c r="J209" s="76">
        <v>2</v>
      </c>
      <c r="K209" s="57">
        <v>250</v>
      </c>
      <c r="L209" s="56">
        <f>J209*K209</f>
        <v>500</v>
      </c>
      <c r="M209" s="56"/>
      <c r="N209" s="78">
        <v>0</v>
      </c>
      <c r="O209" s="78"/>
      <c r="P209" s="86">
        <f>F209+L209+M209+N209+G209</f>
        <v>2494</v>
      </c>
      <c r="Q209" s="428"/>
      <c r="R209" s="1705"/>
      <c r="S209" s="1681"/>
    </row>
    <row r="210" spans="1:19" s="35" customFormat="1" ht="12.75">
      <c r="A210" s="806">
        <v>5</v>
      </c>
      <c r="B210" s="121" t="s">
        <v>612</v>
      </c>
      <c r="C210" s="106"/>
      <c r="D210" s="106"/>
      <c r="E210" s="121"/>
      <c r="F210" s="121"/>
      <c r="G210" s="846"/>
      <c r="H210" s="1437"/>
      <c r="I210" s="1312"/>
      <c r="J210" s="202">
        <v>3</v>
      </c>
      <c r="K210" s="201">
        <v>500</v>
      </c>
      <c r="L210" s="121">
        <f t="shared" si="37"/>
        <v>1500</v>
      </c>
      <c r="M210" s="121"/>
      <c r="N210" s="121"/>
      <c r="O210" s="121"/>
      <c r="P210" s="121">
        <f>L212+L210+L211</f>
        <v>4200</v>
      </c>
      <c r="Q210" s="1816" t="s">
        <v>1084</v>
      </c>
      <c r="R210" s="1741"/>
      <c r="S210" s="1689"/>
    </row>
    <row r="211" spans="1:19" s="35" customFormat="1" ht="12.75">
      <c r="A211" s="806"/>
      <c r="B211" s="121"/>
      <c r="C211" s="106"/>
      <c r="D211" s="106"/>
      <c r="E211" s="121"/>
      <c r="F211" s="121"/>
      <c r="G211" s="846"/>
      <c r="H211" s="1437"/>
      <c r="I211" s="1166"/>
      <c r="J211" s="106">
        <v>1</v>
      </c>
      <c r="K211" s="121">
        <v>900</v>
      </c>
      <c r="L211" s="121">
        <f t="shared" si="37"/>
        <v>900</v>
      </c>
      <c r="M211" s="121"/>
      <c r="N211" s="121"/>
      <c r="O211" s="121"/>
      <c r="P211" s="121"/>
      <c r="Q211" s="1816"/>
      <c r="R211" s="1741"/>
      <c r="S211" s="1689"/>
    </row>
    <row r="212" spans="1:19" s="35" customFormat="1" ht="12.75">
      <c r="A212" s="1345"/>
      <c r="B212" s="105"/>
      <c r="C212" s="97"/>
      <c r="D212" s="97"/>
      <c r="E212" s="105"/>
      <c r="F212" s="105"/>
      <c r="G212" s="1313"/>
      <c r="H212" s="1455"/>
      <c r="I212" s="1313"/>
      <c r="J212" s="97">
        <v>12</v>
      </c>
      <c r="K212" s="105">
        <v>150</v>
      </c>
      <c r="L212" s="105">
        <f t="shared" si="37"/>
        <v>1800</v>
      </c>
      <c r="M212" s="105"/>
      <c r="N212" s="105"/>
      <c r="O212" s="105"/>
      <c r="P212" s="105"/>
      <c r="Q212" s="1816"/>
      <c r="R212" s="1741"/>
      <c r="S212" s="1689"/>
    </row>
    <row r="213" spans="1:19" s="186" customFormat="1" ht="24.75" thickBot="1">
      <c r="A213" s="1346">
        <v>6</v>
      </c>
      <c r="B213" s="265" t="s">
        <v>613</v>
      </c>
      <c r="C213" s="266">
        <v>2</v>
      </c>
      <c r="D213" s="266">
        <v>1</v>
      </c>
      <c r="E213" s="265">
        <v>100</v>
      </c>
      <c r="F213" s="265">
        <f>C213*D213*E213</f>
        <v>200</v>
      </c>
      <c r="G213" s="1311">
        <f>F213*0.228</f>
        <v>46</v>
      </c>
      <c r="H213" s="1456"/>
      <c r="I213" s="1339"/>
      <c r="J213" s="266">
        <v>14</v>
      </c>
      <c r="K213" s="265">
        <v>100</v>
      </c>
      <c r="L213" s="265">
        <f t="shared" si="37"/>
        <v>1400</v>
      </c>
      <c r="M213" s="265"/>
      <c r="N213" s="265"/>
      <c r="O213" s="265"/>
      <c r="P213" s="329">
        <f>SUM(F213:G213,L213:L213)</f>
        <v>1646</v>
      </c>
      <c r="Q213" s="1817"/>
      <c r="R213" s="1750"/>
      <c r="S213" s="1699"/>
    </row>
    <row r="214" spans="1:19" s="31" customFormat="1" ht="12">
      <c r="A214" s="1359">
        <v>7</v>
      </c>
      <c r="B214" s="58" t="s">
        <v>622</v>
      </c>
      <c r="C214" s="70">
        <v>1</v>
      </c>
      <c r="D214" s="69">
        <v>2</v>
      </c>
      <c r="E214" s="58">
        <v>150</v>
      </c>
      <c r="F214" s="60">
        <f>C214*D214*E214</f>
        <v>300</v>
      </c>
      <c r="G214" s="1183">
        <f>F214*0.226</f>
        <v>68</v>
      </c>
      <c r="H214" s="1457"/>
      <c r="I214" s="254"/>
      <c r="J214" s="28">
        <v>6</v>
      </c>
      <c r="K214" s="66">
        <v>150</v>
      </c>
      <c r="L214" s="60">
        <f t="shared" si="37"/>
        <v>900</v>
      </c>
      <c r="M214" s="66"/>
      <c r="N214" s="66"/>
      <c r="O214" s="66"/>
      <c r="P214" s="81">
        <f>L214+F214+G214</f>
        <v>1268</v>
      </c>
      <c r="Q214" s="1803" t="s">
        <v>1085</v>
      </c>
      <c r="R214" s="1711"/>
      <c r="S214" s="1685"/>
    </row>
    <row r="215" spans="1:19" s="31" customFormat="1" ht="12">
      <c r="A215" s="1343">
        <v>8</v>
      </c>
      <c r="B215" s="66" t="s">
        <v>623</v>
      </c>
      <c r="C215" s="100"/>
      <c r="D215" s="28"/>
      <c r="E215" s="66"/>
      <c r="F215" s="74"/>
      <c r="G215" s="254"/>
      <c r="H215" s="1450"/>
      <c r="I215" s="1172"/>
      <c r="J215" s="67">
        <v>1</v>
      </c>
      <c r="K215" s="57">
        <v>900</v>
      </c>
      <c r="L215" s="59">
        <f t="shared" si="37"/>
        <v>900</v>
      </c>
      <c r="M215" s="68"/>
      <c r="N215" s="57"/>
      <c r="O215" s="57"/>
      <c r="P215" s="83">
        <f>L215+F215+G215+L216</f>
        <v>2400</v>
      </c>
      <c r="Q215" s="1803" t="s">
        <v>1085</v>
      </c>
      <c r="R215" s="1711"/>
      <c r="S215" s="1685"/>
    </row>
    <row r="216" spans="1:19" s="31" customFormat="1" ht="12.75" thickBot="1">
      <c r="A216" s="1343"/>
      <c r="B216" s="66"/>
      <c r="C216" s="100"/>
      <c r="D216" s="28"/>
      <c r="E216" s="66"/>
      <c r="F216" s="81"/>
      <c r="G216" s="1183"/>
      <c r="H216" s="1450"/>
      <c r="I216" s="1183"/>
      <c r="J216" s="69">
        <v>6</v>
      </c>
      <c r="K216" s="58">
        <v>250</v>
      </c>
      <c r="L216" s="341">
        <f t="shared" si="37"/>
        <v>1500</v>
      </c>
      <c r="M216" s="60"/>
      <c r="N216" s="58"/>
      <c r="O216" s="66"/>
      <c r="P216" s="66" t="s">
        <v>318</v>
      </c>
      <c r="Q216" s="118"/>
      <c r="R216" s="1711"/>
      <c r="S216" s="1685"/>
    </row>
    <row r="217" spans="1:21" s="268" customFormat="1" ht="36">
      <c r="A217" s="1360">
        <v>9</v>
      </c>
      <c r="B217" s="250" t="s">
        <v>1391</v>
      </c>
      <c r="C217" s="258"/>
      <c r="D217" s="251"/>
      <c r="E217" s="250"/>
      <c r="F217" s="253"/>
      <c r="G217" s="1428">
        <f>ROUND(F217*0.231,0)</f>
        <v>0</v>
      </c>
      <c r="H217" s="1433"/>
      <c r="I217" s="190">
        <v>2</v>
      </c>
      <c r="J217" s="190">
        <v>15</v>
      </c>
      <c r="K217" s="242">
        <v>150</v>
      </c>
      <c r="L217" s="250">
        <f>J217*K217*I217</f>
        <v>4500</v>
      </c>
      <c r="M217" s="250"/>
      <c r="N217" s="250"/>
      <c r="O217" s="250"/>
      <c r="P217" s="252">
        <f>SUM(L217)</f>
        <v>4500</v>
      </c>
      <c r="Q217" s="251"/>
      <c r="R217" s="1707" t="s">
        <v>541</v>
      </c>
      <c r="S217" s="1173"/>
      <c r="T217" s="189"/>
      <c r="U217" s="189"/>
    </row>
    <row r="218" spans="1:21" s="268" customFormat="1" ht="15.75" customHeight="1">
      <c r="A218" s="1360">
        <v>10</v>
      </c>
      <c r="B218" s="201" t="s">
        <v>926</v>
      </c>
      <c r="C218" s="251">
        <v>16</v>
      </c>
      <c r="D218" s="251">
        <v>1</v>
      </c>
      <c r="E218" s="251">
        <v>170</v>
      </c>
      <c r="F218" s="212">
        <f>C218*D218*E218</f>
        <v>2720</v>
      </c>
      <c r="G218" s="1428">
        <f>ROUND(F218*0.231,0)</f>
        <v>628</v>
      </c>
      <c r="H218" s="1432"/>
      <c r="I218" s="106"/>
      <c r="J218" s="106">
        <v>24</v>
      </c>
      <c r="K218" s="121">
        <v>150</v>
      </c>
      <c r="L218" s="127">
        <f>J218*K218</f>
        <v>3600</v>
      </c>
      <c r="M218" s="236">
        <v>4000</v>
      </c>
      <c r="N218" s="236"/>
      <c r="O218" s="236"/>
      <c r="P218" s="243">
        <f>SUM(F218:H218,L218:M219)</f>
        <v>35448</v>
      </c>
      <c r="Q218" s="190"/>
      <c r="R218" s="1708"/>
      <c r="S218" s="1423" t="s">
        <v>1068</v>
      </c>
      <c r="T218" s="189"/>
      <c r="U218" s="189"/>
    </row>
    <row r="219" spans="1:21" s="268" customFormat="1" ht="12" customHeight="1">
      <c r="A219" s="1264"/>
      <c r="B219" s="121" t="s">
        <v>1486</v>
      </c>
      <c r="C219" s="190"/>
      <c r="D219" s="190"/>
      <c r="E219" s="190"/>
      <c r="F219" s="243"/>
      <c r="G219" s="1428"/>
      <c r="H219" s="1432"/>
      <c r="I219" s="106" t="s">
        <v>1613</v>
      </c>
      <c r="J219" s="106">
        <v>3</v>
      </c>
      <c r="K219" s="121">
        <v>1500</v>
      </c>
      <c r="L219" s="127">
        <f>J219*K219</f>
        <v>4500</v>
      </c>
      <c r="M219" s="236">
        <v>20000</v>
      </c>
      <c r="N219" s="236"/>
      <c r="O219" s="236"/>
      <c r="P219" s="236"/>
      <c r="Q219" s="190"/>
      <c r="R219" s="1708" t="s">
        <v>541</v>
      </c>
      <c r="S219" s="1423" t="s">
        <v>1069</v>
      </c>
      <c r="T219" s="189"/>
      <c r="U219" s="189"/>
    </row>
    <row r="220" spans="1:21" s="268" customFormat="1" ht="12.75">
      <c r="A220" s="1264"/>
      <c r="B220" s="121" t="s">
        <v>1101</v>
      </c>
      <c r="C220" s="190"/>
      <c r="D220" s="190"/>
      <c r="E220" s="190"/>
      <c r="F220" s="243"/>
      <c r="G220" s="1428"/>
      <c r="H220" s="1432"/>
      <c r="I220" s="190"/>
      <c r="J220" s="190"/>
      <c r="K220" s="242"/>
      <c r="L220" s="236"/>
      <c r="M220" s="236"/>
      <c r="N220" s="236"/>
      <c r="O220" s="236"/>
      <c r="P220" s="236"/>
      <c r="Q220" s="190"/>
      <c r="R220" s="1708"/>
      <c r="S220" s="1173"/>
      <c r="T220" s="189"/>
      <c r="U220" s="189"/>
    </row>
    <row r="221" spans="1:21" s="268" customFormat="1" ht="12.75">
      <c r="A221" s="1387"/>
      <c r="B221" s="105" t="s">
        <v>1067</v>
      </c>
      <c r="C221" s="327"/>
      <c r="D221" s="327"/>
      <c r="E221" s="327"/>
      <c r="F221" s="331"/>
      <c r="G221" s="1425"/>
      <c r="H221" s="1434"/>
      <c r="I221" s="327"/>
      <c r="J221" s="327"/>
      <c r="K221" s="261"/>
      <c r="L221" s="238"/>
      <c r="M221" s="238"/>
      <c r="N221" s="238"/>
      <c r="O221" s="238"/>
      <c r="P221" s="238"/>
      <c r="Q221" s="190"/>
      <c r="R221" s="1730"/>
      <c r="S221" s="1173"/>
      <c r="T221" s="189"/>
      <c r="U221" s="189"/>
    </row>
    <row r="222" spans="1:21" s="268" customFormat="1" ht="17.25" customHeight="1" thickBot="1">
      <c r="A222" s="1390">
        <v>11</v>
      </c>
      <c r="B222" s="1579" t="s">
        <v>1517</v>
      </c>
      <c r="C222" s="1580"/>
      <c r="D222" s="1580"/>
      <c r="E222" s="1579"/>
      <c r="F222" s="1581"/>
      <c r="G222" s="1582"/>
      <c r="H222" s="1583"/>
      <c r="I222" s="1580"/>
      <c r="J222" s="1580">
        <v>18</v>
      </c>
      <c r="K222" s="1579">
        <v>150</v>
      </c>
      <c r="L222" s="1579">
        <f>J222*K222</f>
        <v>2700</v>
      </c>
      <c r="M222" s="1579"/>
      <c r="N222" s="1579"/>
      <c r="O222" s="1579"/>
      <c r="P222" s="1134">
        <f>SUM(F222:G222,L222:M222)</f>
        <v>2700</v>
      </c>
      <c r="Q222" s="1580"/>
      <c r="R222" s="1751"/>
      <c r="S222" s="906"/>
      <c r="T222" s="189"/>
      <c r="U222" s="189"/>
    </row>
    <row r="223" spans="1:23" s="732" customFormat="1" ht="12.75" customHeight="1" thickBot="1">
      <c r="A223" s="1348"/>
      <c r="B223" s="970" t="s">
        <v>1783</v>
      </c>
      <c r="C223" s="1306"/>
      <c r="D223" s="1306"/>
      <c r="E223" s="970"/>
      <c r="F223" s="1305">
        <f aca="true" t="shared" si="38" ref="F223:O223">SUM(F204:F222)</f>
        <v>16540</v>
      </c>
      <c r="G223" s="1305">
        <f t="shared" si="38"/>
        <v>3807</v>
      </c>
      <c r="H223" s="1305">
        <f t="shared" si="38"/>
        <v>6300</v>
      </c>
      <c r="I223" s="1305"/>
      <c r="J223" s="1305"/>
      <c r="K223" s="1305"/>
      <c r="L223" s="1305">
        <f t="shared" si="38"/>
        <v>47950</v>
      </c>
      <c r="M223" s="1305">
        <f t="shared" si="38"/>
        <v>36000</v>
      </c>
      <c r="N223" s="1305">
        <f t="shared" si="38"/>
        <v>0</v>
      </c>
      <c r="O223" s="1305">
        <f t="shared" si="38"/>
        <v>0</v>
      </c>
      <c r="P223" s="1305">
        <f>SUM(P204:P222)</f>
        <v>110597</v>
      </c>
      <c r="Q223" s="1305">
        <f>SUM(Q204:Q206)</f>
        <v>0</v>
      </c>
      <c r="R223" s="1749"/>
      <c r="S223" s="1422"/>
      <c r="T223" s="1652">
        <f>SUM(F223:O223)</f>
        <v>110597</v>
      </c>
      <c r="U223" s="739"/>
      <c r="W223" s="733"/>
    </row>
    <row r="224" spans="1:21" s="21" customFormat="1" ht="9.75" customHeight="1" thickBot="1">
      <c r="A224" s="208"/>
      <c r="B224" s="128"/>
      <c r="C224" s="128"/>
      <c r="D224" s="128"/>
      <c r="E224" s="128"/>
      <c r="F224" s="128"/>
      <c r="G224" s="106"/>
      <c r="H224" s="120"/>
      <c r="I224" s="106"/>
      <c r="J224" s="106"/>
      <c r="K224" s="106"/>
      <c r="L224" s="128"/>
      <c r="M224" s="128"/>
      <c r="N224" s="128"/>
      <c r="O224" s="128"/>
      <c r="P224" s="128"/>
      <c r="Q224" s="106"/>
      <c r="R224" s="1707"/>
      <c r="S224" s="903"/>
      <c r="T224" s="1652">
        <f>SUM(F224:O224)</f>
        <v>0</v>
      </c>
      <c r="U224" s="106"/>
    </row>
    <row r="225" spans="1:23" s="29" customFormat="1" ht="15" customHeight="1" thickBot="1">
      <c r="A225" s="1278"/>
      <c r="B225" s="205" t="s">
        <v>1216</v>
      </c>
      <c r="C225" s="205"/>
      <c r="D225" s="205"/>
      <c r="E225" s="205"/>
      <c r="F225" s="752">
        <f aca="true" t="shared" si="39" ref="F225:O225">SUM(F26,F45,F63,F84,F101,F116,F122,F137,F142,F175,F202,F223)</f>
        <v>548897</v>
      </c>
      <c r="G225" s="752">
        <f t="shared" si="39"/>
        <v>125984</v>
      </c>
      <c r="H225" s="752">
        <f t="shared" si="39"/>
        <v>25690</v>
      </c>
      <c r="I225" s="752">
        <f t="shared" si="39"/>
        <v>0</v>
      </c>
      <c r="J225" s="752">
        <f t="shared" si="39"/>
        <v>0</v>
      </c>
      <c r="K225" s="752">
        <f t="shared" si="39"/>
        <v>0</v>
      </c>
      <c r="L225" s="752">
        <f t="shared" si="39"/>
        <v>358864</v>
      </c>
      <c r="M225" s="752">
        <f t="shared" si="39"/>
        <v>187590</v>
      </c>
      <c r="N225" s="752">
        <f t="shared" si="39"/>
        <v>33740</v>
      </c>
      <c r="O225" s="752">
        <f t="shared" si="39"/>
        <v>7000</v>
      </c>
      <c r="P225" s="752">
        <f>SUM(P26,P45,P63,P84,P101,P116,P122,P137,P142,P175,P202,P223)</f>
        <v>1287765</v>
      </c>
      <c r="Q225" s="735" t="e">
        <f>SUM(Q26,Q45,Q63,Q84,Q101,Q137,#REF!,#REF!,Q175,Q202,Q223)</f>
        <v>#REF!</v>
      </c>
      <c r="R225" s="1752"/>
      <c r="S225" s="1424"/>
      <c r="T225" s="1652">
        <f>SUM(F225:O225)</f>
        <v>1287765</v>
      </c>
      <c r="U225" s="722"/>
      <c r="W225" s="53"/>
    </row>
    <row r="226" ht="19.5" customHeight="1">
      <c r="A226" s="1340" t="s">
        <v>66</v>
      </c>
    </row>
  </sheetData>
  <mergeCells count="24">
    <mergeCell ref="B1:P1"/>
    <mergeCell ref="A39:A40"/>
    <mergeCell ref="A118:A119"/>
    <mergeCell ref="B118:B119"/>
    <mergeCell ref="A4:A5"/>
    <mergeCell ref="B4:B5"/>
    <mergeCell ref="C3:H3"/>
    <mergeCell ref="C4:G4"/>
    <mergeCell ref="I3:L3"/>
    <mergeCell ref="I4:L4"/>
    <mergeCell ref="Q214:Q215"/>
    <mergeCell ref="B69:B70"/>
    <mergeCell ref="Q95:Q96"/>
    <mergeCell ref="Q97:Q98"/>
    <mergeCell ref="Q162:Q164"/>
    <mergeCell ref="Q198:Q201"/>
    <mergeCell ref="Q153:Q154"/>
    <mergeCell ref="R88:R89"/>
    <mergeCell ref="B192:B193"/>
    <mergeCell ref="Q69:Q70"/>
    <mergeCell ref="Q210:Q213"/>
    <mergeCell ref="R205:R206"/>
    <mergeCell ref="R195:R197"/>
    <mergeCell ref="R173:R174"/>
  </mergeCells>
  <printOptions horizontalCentered="1"/>
  <pageMargins left="0.3937007874015748" right="0.1968503937007874" top="0.7874015748031497" bottom="0.1968503937007874" header="0.11811023622047245" footer="0"/>
  <pageSetup firstPageNumber="64" useFirstPageNumber="1" horizontalDpi="120" verticalDpi="120" orientation="landscape" paperSize="9" scale="73" r:id="rId1"/>
  <rowBreaks count="4" manualBreakCount="4">
    <brk id="78" max="18" man="1"/>
    <brk id="116" max="18" man="1"/>
    <brk id="152" max="18" man="1"/>
    <brk id="193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K18"/>
  <sheetViews>
    <sheetView view="pageBreakPreview" zoomScale="75" zoomScaleSheetLayoutView="75" workbookViewId="0" topLeftCell="A1">
      <selection activeCell="G18" sqref="G18"/>
    </sheetView>
  </sheetViews>
  <sheetFormatPr defaultColWidth="9.00390625" defaultRowHeight="12.75"/>
  <cols>
    <col min="1" max="1" width="6.75390625" style="397" customWidth="1"/>
    <col min="2" max="2" width="34.25390625" style="397" customWidth="1"/>
    <col min="3" max="3" width="11.25390625" style="397" customWidth="1"/>
    <col min="4" max="5" width="8.625" style="397" customWidth="1"/>
    <col min="6" max="6" width="10.75390625" style="397" customWidth="1"/>
    <col min="7" max="7" width="9.875" style="397" customWidth="1"/>
    <col min="8" max="8" width="7.125" style="397" customWidth="1"/>
    <col min="9" max="9" width="9.75390625" style="397" customWidth="1"/>
    <col min="10" max="10" width="9.875" style="397" customWidth="1"/>
    <col min="11" max="11" width="6.75390625" style="397" customWidth="1"/>
    <col min="12" max="16384" width="9.125" style="397" customWidth="1"/>
  </cols>
  <sheetData>
    <row r="1" spans="1:2" s="893" customFormat="1" ht="15">
      <c r="A1" s="1626" t="s">
        <v>1788</v>
      </c>
      <c r="B1" s="398" t="s">
        <v>593</v>
      </c>
    </row>
    <row r="2" spans="2:10" ht="12.75" thickBot="1">
      <c r="B2" s="950"/>
      <c r="J2" s="1073" t="s">
        <v>1012</v>
      </c>
    </row>
    <row r="3" spans="1:10" ht="13.5" customHeight="1" thickBot="1">
      <c r="A3" s="1074"/>
      <c r="B3" s="1074"/>
      <c r="C3" s="1912" t="s">
        <v>1034</v>
      </c>
      <c r="D3" s="1913"/>
      <c r="E3" s="1913"/>
      <c r="F3" s="1913"/>
      <c r="G3" s="1913"/>
      <c r="H3" s="1914"/>
      <c r="I3" s="1074"/>
      <c r="J3" s="1074"/>
    </row>
    <row r="4" spans="1:10" s="1079" customFormat="1" ht="13.5" customHeight="1" thickBot="1">
      <c r="A4" s="1908" t="s">
        <v>316</v>
      </c>
      <c r="B4" s="1908" t="s">
        <v>317</v>
      </c>
      <c r="C4" s="1910" t="s">
        <v>1388</v>
      </c>
      <c r="D4" s="1911"/>
      <c r="E4" s="1911"/>
      <c r="F4" s="1911"/>
      <c r="G4" s="1911"/>
      <c r="H4" s="1077" t="s">
        <v>1389</v>
      </c>
      <c r="I4" s="812" t="s">
        <v>265</v>
      </c>
      <c r="J4" s="1078" t="s">
        <v>68</v>
      </c>
    </row>
    <row r="5" spans="1:10" s="1079" customFormat="1" ht="12.75" thickBot="1">
      <c r="A5" s="1909"/>
      <c r="B5" s="1909"/>
      <c r="C5" s="1075" t="s">
        <v>776</v>
      </c>
      <c r="D5" s="1080" t="s">
        <v>777</v>
      </c>
      <c r="E5" s="1076" t="s">
        <v>785</v>
      </c>
      <c r="F5" s="1080" t="s">
        <v>778</v>
      </c>
      <c r="G5" s="1075" t="s">
        <v>467</v>
      </c>
      <c r="H5" s="1081" t="s">
        <v>335</v>
      </c>
      <c r="I5" s="1083" t="s">
        <v>1365</v>
      </c>
      <c r="J5" s="1082"/>
    </row>
    <row r="6" spans="1:10" s="1079" customFormat="1" ht="12">
      <c r="A6" s="1084"/>
      <c r="B6" s="1085" t="s">
        <v>924</v>
      </c>
      <c r="F6" s="1086"/>
      <c r="H6" s="1087"/>
      <c r="I6" s="1087"/>
      <c r="J6" s="1088"/>
    </row>
    <row r="7" spans="1:10" s="1079" customFormat="1" ht="25.5" customHeight="1" thickBot="1">
      <c r="A7" s="1084">
        <v>1</v>
      </c>
      <c r="B7" s="1089" t="s">
        <v>635</v>
      </c>
      <c r="C7" s="1079">
        <v>1</v>
      </c>
      <c r="D7" s="1079">
        <v>1</v>
      </c>
      <c r="E7" s="1654">
        <v>4000</v>
      </c>
      <c r="F7" s="1655">
        <f>C7*D7*E7</f>
        <v>4000</v>
      </c>
      <c r="G7" s="1654">
        <f>F7*0.226</f>
        <v>904</v>
      </c>
      <c r="H7" s="1655"/>
      <c r="I7" s="1655">
        <f>SUM(F7:H7)</f>
        <v>4904</v>
      </c>
      <c r="J7" s="1088"/>
    </row>
    <row r="8" spans="1:10" s="1094" customFormat="1" ht="12.75" thickBot="1">
      <c r="A8" s="1090"/>
      <c r="B8" s="1091" t="s">
        <v>1783</v>
      </c>
      <c r="C8" s="1092"/>
      <c r="D8" s="1091"/>
      <c r="E8" s="1656"/>
      <c r="F8" s="1657">
        <f>SUM(F6:F7)</f>
        <v>4000</v>
      </c>
      <c r="G8" s="1657">
        <f>SUM(G6:G7)</f>
        <v>904</v>
      </c>
      <c r="H8" s="1657">
        <f>SUM(H6:H7)</f>
        <v>0</v>
      </c>
      <c r="I8" s="1657">
        <f>SUM(I6:I7)</f>
        <v>4904</v>
      </c>
      <c r="J8" s="1093"/>
    </row>
    <row r="9" spans="1:10" s="1079" customFormat="1" ht="12">
      <c r="A9" s="1084"/>
      <c r="B9" s="1085" t="s">
        <v>925</v>
      </c>
      <c r="E9" s="1654"/>
      <c r="F9" s="1655"/>
      <c r="G9" s="1654"/>
      <c r="H9" s="1659"/>
      <c r="I9" s="1659"/>
      <c r="J9" s="1088"/>
    </row>
    <row r="10" spans="1:10" s="1079" customFormat="1" ht="12.75" thickBot="1">
      <c r="A10" s="1084">
        <v>1</v>
      </c>
      <c r="B10" s="1089" t="s">
        <v>1590</v>
      </c>
      <c r="C10" s="1079">
        <v>1</v>
      </c>
      <c r="D10" s="1079">
        <v>1</v>
      </c>
      <c r="E10" s="1654">
        <v>20000</v>
      </c>
      <c r="F10" s="1655">
        <f>C10*D10*E10</f>
        <v>20000</v>
      </c>
      <c r="G10" s="1654">
        <f>F10*0.226</f>
        <v>4520</v>
      </c>
      <c r="H10" s="1655">
        <v>5000</v>
      </c>
      <c r="I10" s="1655">
        <f>SUM(F10:H10)</f>
        <v>29520</v>
      </c>
      <c r="J10" s="1088"/>
    </row>
    <row r="11" spans="1:10" s="1094" customFormat="1" ht="12.75" thickBot="1">
      <c r="A11" s="1090"/>
      <c r="B11" s="1091" t="s">
        <v>1783</v>
      </c>
      <c r="C11" s="1092"/>
      <c r="D11" s="1091"/>
      <c r="E11" s="1656"/>
      <c r="F11" s="1657">
        <f>SUM(F9:F10)</f>
        <v>20000</v>
      </c>
      <c r="G11" s="1657">
        <f>SUM(G9:G10)</f>
        <v>4520</v>
      </c>
      <c r="H11" s="1657">
        <f>SUM(H9:H10)</f>
        <v>5000</v>
      </c>
      <c r="I11" s="1657">
        <f>SUM(I9:I10)</f>
        <v>29520</v>
      </c>
      <c r="J11" s="1093"/>
    </row>
    <row r="12" spans="1:10" s="1079" customFormat="1" ht="12">
      <c r="A12" s="1084"/>
      <c r="B12" s="1085" t="s">
        <v>944</v>
      </c>
      <c r="E12" s="1654"/>
      <c r="F12" s="1655"/>
      <c r="G12" s="1654"/>
      <c r="H12" s="1659"/>
      <c r="I12" s="1659"/>
      <c r="J12" s="1088"/>
    </row>
    <row r="13" spans="1:10" s="1079" customFormat="1" ht="12.75" thickBot="1">
      <c r="A13" s="1084">
        <v>1</v>
      </c>
      <c r="B13" s="1089" t="s">
        <v>1591</v>
      </c>
      <c r="C13" s="1079">
        <v>1</v>
      </c>
      <c r="D13" s="1079">
        <v>1</v>
      </c>
      <c r="E13" s="1654">
        <v>10000</v>
      </c>
      <c r="F13" s="1655">
        <f>C13*D13*E13</f>
        <v>10000</v>
      </c>
      <c r="G13" s="1654">
        <f>F13*0.226</f>
        <v>2260</v>
      </c>
      <c r="H13" s="1655">
        <v>5000</v>
      </c>
      <c r="I13" s="1655">
        <f>SUM(F13:H13)</f>
        <v>17260</v>
      </c>
      <c r="J13" s="1088"/>
    </row>
    <row r="14" spans="1:10" s="1094" customFormat="1" ht="12.75" thickBot="1">
      <c r="A14" s="1090"/>
      <c r="B14" s="1091" t="s">
        <v>1783</v>
      </c>
      <c r="C14" s="1092"/>
      <c r="D14" s="1091"/>
      <c r="E14" s="1656"/>
      <c r="F14" s="1657">
        <f>SUM(F12:F13)</f>
        <v>10000</v>
      </c>
      <c r="G14" s="1657">
        <f>SUM(G12:G13)</f>
        <v>2260</v>
      </c>
      <c r="H14" s="1657">
        <f>SUM(H12:H13)</f>
        <v>5000</v>
      </c>
      <c r="I14" s="1657">
        <f>SUM(I12:I13)</f>
        <v>17260</v>
      </c>
      <c r="J14" s="1093"/>
    </row>
    <row r="15" spans="5:9" s="1095" customFormat="1" ht="12.75" thickBot="1">
      <c r="E15" s="1660"/>
      <c r="F15" s="1660"/>
      <c r="G15" s="1660"/>
      <c r="H15" s="1660"/>
      <c r="I15" s="1660"/>
    </row>
    <row r="16" spans="1:11" s="1098" customFormat="1" ht="16.5" customHeight="1" thickBot="1">
      <c r="A16" s="1096"/>
      <c r="B16" s="1097" t="s">
        <v>1216</v>
      </c>
      <c r="C16" s="1097"/>
      <c r="D16" s="1097"/>
      <c r="E16" s="1661"/>
      <c r="F16" s="1662">
        <f>SUM(F14,F11,F8)</f>
        <v>34000</v>
      </c>
      <c r="G16" s="1662">
        <f>SUM(G14,G11,G8)</f>
        <v>7684</v>
      </c>
      <c r="H16" s="1662">
        <f>SUM(H14,H11,H8)</f>
        <v>10000</v>
      </c>
      <c r="I16" s="1662">
        <f>SUM(I14,I11,I8)</f>
        <v>51684</v>
      </c>
      <c r="J16" s="833"/>
      <c r="K16" s="1098">
        <f>SUM(F16:H16)</f>
        <v>51684</v>
      </c>
    </row>
    <row r="18" spans="1:10" s="139" customFormat="1" ht="12">
      <c r="A18" s="139" t="s">
        <v>1681</v>
      </c>
      <c r="J18" s="52"/>
    </row>
  </sheetData>
  <mergeCells count="4">
    <mergeCell ref="A4:A5"/>
    <mergeCell ref="B4:B5"/>
    <mergeCell ref="C4:G4"/>
    <mergeCell ref="C3:H3"/>
  </mergeCells>
  <printOptions/>
  <pageMargins left="0" right="0" top="0.984251968503937" bottom="0.3937007874015748" header="0.11811023622047245" footer="0"/>
  <pageSetup firstPageNumber="68" useFirstPageNumber="1" horizontalDpi="120" verticalDpi="12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3"/>
  <dimension ref="A1:K120"/>
  <sheetViews>
    <sheetView view="pageBreakPreview" zoomScaleSheetLayoutView="100" workbookViewId="0" topLeftCell="A1">
      <pane ySplit="7" topLeftCell="BM47" activePane="bottomLeft" state="frozen"/>
      <selection pane="topLeft" activeCell="A28" sqref="A28"/>
      <selection pane="bottomLeft" activeCell="A46" sqref="A46:IV46"/>
    </sheetView>
  </sheetViews>
  <sheetFormatPr defaultColWidth="9.00390625" defaultRowHeight="12.75"/>
  <cols>
    <col min="1" max="1" width="3.875" style="39" customWidth="1"/>
    <col min="2" max="2" width="31.875" style="39" customWidth="1"/>
    <col min="3" max="3" width="7.625" style="39" customWidth="1"/>
    <col min="4" max="4" width="7.875" style="39" customWidth="1"/>
    <col min="5" max="5" width="9.625" style="39" customWidth="1"/>
    <col min="6" max="6" width="8.375" style="39" customWidth="1"/>
    <col min="7" max="7" width="11.875" style="39" customWidth="1"/>
    <col min="8" max="8" width="12.625" style="39" customWidth="1"/>
    <col min="9" max="9" width="13.375" style="39" customWidth="1"/>
    <col min="10" max="10" width="13.625" style="52" customWidth="1"/>
    <col min="11" max="16384" width="9.125" style="39" customWidth="1"/>
  </cols>
  <sheetData>
    <row r="1" spans="1:10" ht="15">
      <c r="A1" s="1066" t="s">
        <v>1898</v>
      </c>
      <c r="B1" s="1067"/>
      <c r="C1" s="1067"/>
      <c r="D1" s="1067"/>
      <c r="E1" s="1067"/>
      <c r="F1" s="1067"/>
      <c r="G1" s="1067"/>
      <c r="H1" s="1067"/>
      <c r="I1" s="1067"/>
      <c r="J1" s="907"/>
    </row>
    <row r="2" ht="16.5" customHeight="1">
      <c r="B2" s="34" t="s">
        <v>1109</v>
      </c>
    </row>
    <row r="3" ht="14.25" customHeight="1">
      <c r="B3" s="34" t="s">
        <v>26</v>
      </c>
    </row>
    <row r="4" spans="2:9" ht="14.25" customHeight="1" thickBot="1">
      <c r="B4" s="34"/>
      <c r="I4" s="256" t="s">
        <v>1682</v>
      </c>
    </row>
    <row r="5" spans="1:10" s="139" customFormat="1" ht="15" customHeight="1" thickBot="1">
      <c r="A5" s="723"/>
      <c r="B5" s="723"/>
      <c r="C5" s="1844" t="s">
        <v>1035</v>
      </c>
      <c r="D5" s="1845"/>
      <c r="E5" s="1845"/>
      <c r="F5" s="1845"/>
      <c r="G5" s="1846"/>
      <c r="H5" s="723"/>
      <c r="I5" s="723"/>
      <c r="J5" s="52"/>
    </row>
    <row r="6" spans="1:10" s="139" customFormat="1" ht="13.5" customHeight="1" thickBot="1">
      <c r="A6" s="1852" t="s">
        <v>316</v>
      </c>
      <c r="B6" s="1852" t="s">
        <v>317</v>
      </c>
      <c r="C6" s="1841" t="s">
        <v>1340</v>
      </c>
      <c r="D6" s="1842"/>
      <c r="E6" s="1842"/>
      <c r="F6" s="1843"/>
      <c r="G6" s="106" t="s">
        <v>866</v>
      </c>
      <c r="H6" s="755" t="s">
        <v>265</v>
      </c>
      <c r="I6" s="714" t="s">
        <v>1415</v>
      </c>
      <c r="J6" s="52"/>
    </row>
    <row r="7" spans="1:10" s="182" customFormat="1" ht="13.5" customHeight="1" thickBot="1">
      <c r="A7" s="1853"/>
      <c r="B7" s="1853"/>
      <c r="C7" s="179" t="s">
        <v>776</v>
      </c>
      <c r="D7" s="180" t="s">
        <v>777</v>
      </c>
      <c r="E7" s="179" t="s">
        <v>69</v>
      </c>
      <c r="F7" s="181" t="s">
        <v>778</v>
      </c>
      <c r="G7" s="180" t="s">
        <v>781</v>
      </c>
      <c r="H7" s="208" t="s">
        <v>1364</v>
      </c>
      <c r="I7" s="181"/>
      <c r="J7" s="185"/>
    </row>
    <row r="8" spans="1:10" s="139" customFormat="1" ht="12">
      <c r="A8" s="120"/>
      <c r="B8" s="135" t="s">
        <v>367</v>
      </c>
      <c r="C8" s="106"/>
      <c r="D8" s="106"/>
      <c r="E8" s="121"/>
      <c r="F8" s="127"/>
      <c r="G8" s="121"/>
      <c r="H8" s="122"/>
      <c r="I8" s="125"/>
      <c r="J8" s="52"/>
    </row>
    <row r="9" spans="1:10" s="139" customFormat="1" ht="12">
      <c r="A9" s="120">
        <v>1</v>
      </c>
      <c r="B9" s="127" t="s">
        <v>1009</v>
      </c>
      <c r="C9" s="106">
        <v>3</v>
      </c>
      <c r="D9" s="106">
        <v>15</v>
      </c>
      <c r="E9" s="121">
        <v>180</v>
      </c>
      <c r="F9" s="127">
        <f>C9*D9*E9</f>
        <v>8100</v>
      </c>
      <c r="G9" s="127"/>
      <c r="H9" s="124">
        <f aca="true" t="shared" si="0" ref="H9:H14">F9+G9</f>
        <v>8100</v>
      </c>
      <c r="I9" s="511" t="s">
        <v>541</v>
      </c>
      <c r="J9" s="52"/>
    </row>
    <row r="10" spans="1:10" s="139" customFormat="1" ht="12.75" customHeight="1">
      <c r="A10" s="218">
        <v>2</v>
      </c>
      <c r="B10" s="96" t="s">
        <v>315</v>
      </c>
      <c r="C10" s="85">
        <v>10</v>
      </c>
      <c r="D10" s="85">
        <v>15</v>
      </c>
      <c r="E10" s="104">
        <v>180</v>
      </c>
      <c r="F10" s="127">
        <f>C10*D10*E10</f>
        <v>27000</v>
      </c>
      <c r="G10" s="96"/>
      <c r="H10" s="210">
        <f t="shared" si="0"/>
        <v>27000</v>
      </c>
      <c r="I10" s="511" t="s">
        <v>541</v>
      </c>
      <c r="J10" s="52"/>
    </row>
    <row r="11" spans="1:10" s="139" customFormat="1" ht="12" customHeight="1">
      <c r="A11" s="120">
        <v>3</v>
      </c>
      <c r="B11" s="127" t="s">
        <v>681</v>
      </c>
      <c r="C11" s="106">
        <v>10</v>
      </c>
      <c r="D11" s="106">
        <v>15</v>
      </c>
      <c r="E11" s="121">
        <v>180</v>
      </c>
      <c r="F11" s="127">
        <f>C11*D11*E11</f>
        <v>27000</v>
      </c>
      <c r="G11" s="127"/>
      <c r="H11" s="124">
        <f t="shared" si="0"/>
        <v>27000</v>
      </c>
      <c r="I11" s="511" t="s">
        <v>541</v>
      </c>
      <c r="J11" s="52"/>
    </row>
    <row r="12" spans="1:10" s="139" customFormat="1" ht="12" customHeight="1">
      <c r="A12" s="218">
        <v>4</v>
      </c>
      <c r="B12" s="96" t="s">
        <v>1746</v>
      </c>
      <c r="C12" s="85">
        <v>5</v>
      </c>
      <c r="D12" s="85">
        <v>15</v>
      </c>
      <c r="E12" s="104">
        <v>180</v>
      </c>
      <c r="F12" s="127">
        <f>C12*D12*E12</f>
        <v>13500</v>
      </c>
      <c r="G12" s="96"/>
      <c r="H12" s="210">
        <f t="shared" si="0"/>
        <v>13500</v>
      </c>
      <c r="I12" s="511" t="s">
        <v>541</v>
      </c>
      <c r="J12" s="52"/>
    </row>
    <row r="13" spans="1:10" s="139" customFormat="1" ht="12" customHeight="1">
      <c r="A13" s="120">
        <v>5</v>
      </c>
      <c r="B13" s="121" t="s">
        <v>732</v>
      </c>
      <c r="C13" s="106">
        <v>5</v>
      </c>
      <c r="D13" s="106">
        <v>15</v>
      </c>
      <c r="E13" s="121">
        <v>180</v>
      </c>
      <c r="F13" s="127">
        <f>C13*D13*E13</f>
        <v>13500</v>
      </c>
      <c r="G13" s="106"/>
      <c r="H13" s="210">
        <f t="shared" si="0"/>
        <v>13500</v>
      </c>
      <c r="I13" s="511" t="s">
        <v>541</v>
      </c>
      <c r="J13" s="52"/>
    </row>
    <row r="14" spans="1:10" s="31" customFormat="1" ht="12.75" customHeight="1" thickBot="1">
      <c r="A14" s="228">
        <v>6</v>
      </c>
      <c r="B14" s="57" t="s">
        <v>441</v>
      </c>
      <c r="C14" s="67"/>
      <c r="D14" s="67"/>
      <c r="E14" s="57"/>
      <c r="F14" s="67">
        <v>900</v>
      </c>
      <c r="G14" s="74"/>
      <c r="H14" s="212">
        <f t="shared" si="0"/>
        <v>900</v>
      </c>
      <c r="I14" s="511" t="s">
        <v>541</v>
      </c>
      <c r="J14" s="3" t="s">
        <v>318</v>
      </c>
    </row>
    <row r="15" spans="1:11" s="739" customFormat="1" ht="12.75" customHeight="1" thickBot="1">
      <c r="A15" s="693"/>
      <c r="B15" s="697" t="s">
        <v>1783</v>
      </c>
      <c r="C15" s="696"/>
      <c r="D15" s="696"/>
      <c r="E15" s="697"/>
      <c r="F15" s="703">
        <f>SUM(F9:F14)</f>
        <v>90000</v>
      </c>
      <c r="G15" s="703">
        <f>SUM(G9:G14)</f>
        <v>0</v>
      </c>
      <c r="H15" s="703">
        <f>SUM(H9:H14)</f>
        <v>90000</v>
      </c>
      <c r="I15" s="731"/>
      <c r="J15" s="747"/>
      <c r="K15" s="764" t="s">
        <v>318</v>
      </c>
    </row>
    <row r="16" spans="1:10" s="139" customFormat="1" ht="12">
      <c r="A16" s="120"/>
      <c r="B16" s="135" t="s">
        <v>1784</v>
      </c>
      <c r="C16" s="106"/>
      <c r="D16" s="106"/>
      <c r="E16" s="121"/>
      <c r="F16" s="127"/>
      <c r="G16" s="121"/>
      <c r="H16" s="121"/>
      <c r="I16" s="129"/>
      <c r="J16" s="52"/>
    </row>
    <row r="17" spans="1:10" s="139" customFormat="1" ht="12.75" customHeight="1">
      <c r="A17" s="120">
        <v>1</v>
      </c>
      <c r="B17" s="127" t="s">
        <v>818</v>
      </c>
      <c r="C17" s="106">
        <v>5</v>
      </c>
      <c r="D17" s="106">
        <v>15</v>
      </c>
      <c r="E17" s="121">
        <v>180</v>
      </c>
      <c r="F17" s="127">
        <f>C17*D17*E17</f>
        <v>13500</v>
      </c>
      <c r="G17" s="127"/>
      <c r="H17" s="122">
        <f aca="true" t="shared" si="1" ref="H17:H22">F17+G17</f>
        <v>13500</v>
      </c>
      <c r="I17" s="125" t="s">
        <v>541</v>
      </c>
      <c r="J17" s="52"/>
    </row>
    <row r="18" spans="1:10" s="139" customFormat="1" ht="12.75" customHeight="1">
      <c r="A18" s="218">
        <v>2</v>
      </c>
      <c r="B18" s="96" t="s">
        <v>734</v>
      </c>
      <c r="C18" s="85">
        <v>5</v>
      </c>
      <c r="D18" s="85">
        <v>15</v>
      </c>
      <c r="E18" s="104">
        <v>180</v>
      </c>
      <c r="F18" s="127">
        <f>C18*D18*E18</f>
        <v>13500</v>
      </c>
      <c r="G18" s="96"/>
      <c r="H18" s="210">
        <f t="shared" si="1"/>
        <v>13500</v>
      </c>
      <c r="I18" s="125" t="s">
        <v>541</v>
      </c>
      <c r="J18" s="52"/>
    </row>
    <row r="19" spans="1:10" s="139" customFormat="1" ht="12.75" customHeight="1">
      <c r="A19" s="120">
        <v>3</v>
      </c>
      <c r="B19" s="127" t="s">
        <v>1403</v>
      </c>
      <c r="C19" s="106">
        <v>2</v>
      </c>
      <c r="D19" s="106">
        <v>15</v>
      </c>
      <c r="E19" s="121">
        <v>180</v>
      </c>
      <c r="F19" s="127">
        <f>C19*D19*E19</f>
        <v>5400</v>
      </c>
      <c r="G19" s="127"/>
      <c r="H19" s="124">
        <f t="shared" si="1"/>
        <v>5400</v>
      </c>
      <c r="I19" s="125" t="s">
        <v>541</v>
      </c>
      <c r="J19" s="52"/>
    </row>
    <row r="20" spans="1:10" s="139" customFormat="1" ht="12.75" customHeight="1">
      <c r="A20" s="218">
        <v>4</v>
      </c>
      <c r="B20" s="96" t="s">
        <v>1498</v>
      </c>
      <c r="C20" s="85">
        <v>5</v>
      </c>
      <c r="D20" s="85">
        <v>15</v>
      </c>
      <c r="E20" s="104">
        <v>180</v>
      </c>
      <c r="F20" s="127">
        <f>C20*D20*E20</f>
        <v>13500</v>
      </c>
      <c r="G20" s="96"/>
      <c r="H20" s="210">
        <f t="shared" si="1"/>
        <v>13500</v>
      </c>
      <c r="I20" s="125" t="s">
        <v>541</v>
      </c>
      <c r="J20" s="52"/>
    </row>
    <row r="21" spans="1:10" s="139" customFormat="1" ht="12.75" customHeight="1">
      <c r="A21" s="120">
        <v>5</v>
      </c>
      <c r="B21" s="127" t="s">
        <v>1500</v>
      </c>
      <c r="C21" s="106">
        <v>2</v>
      </c>
      <c r="D21" s="106">
        <v>15</v>
      </c>
      <c r="E21" s="121">
        <v>180</v>
      </c>
      <c r="F21" s="127">
        <f>C21*D21*E21</f>
        <v>5400</v>
      </c>
      <c r="G21" s="127"/>
      <c r="H21" s="210">
        <f t="shared" si="1"/>
        <v>5400</v>
      </c>
      <c r="I21" s="125" t="s">
        <v>541</v>
      </c>
      <c r="J21" s="52"/>
    </row>
    <row r="22" spans="1:10" s="31" customFormat="1" ht="12.75" thickBot="1">
      <c r="A22" s="228">
        <v>6</v>
      </c>
      <c r="B22" s="57" t="s">
        <v>441</v>
      </c>
      <c r="C22" s="67"/>
      <c r="D22" s="67"/>
      <c r="E22" s="57"/>
      <c r="F22" s="67">
        <v>900</v>
      </c>
      <c r="G22" s="74"/>
      <c r="H22" s="212">
        <f t="shared" si="1"/>
        <v>900</v>
      </c>
      <c r="I22" s="125" t="s">
        <v>541</v>
      </c>
      <c r="J22" s="3" t="s">
        <v>318</v>
      </c>
    </row>
    <row r="23" spans="1:11" s="720" customFormat="1" ht="12.75" customHeight="1" thickBot="1">
      <c r="A23" s="693"/>
      <c r="B23" s="694" t="s">
        <v>1783</v>
      </c>
      <c r="C23" s="696"/>
      <c r="D23" s="696"/>
      <c r="E23" s="697"/>
      <c r="F23" s="741">
        <f>SUM(F17:F22)</f>
        <v>52200</v>
      </c>
      <c r="G23" s="741">
        <f>SUM(G17:G22)</f>
        <v>0</v>
      </c>
      <c r="H23" s="741">
        <f>SUM(H17:H22)</f>
        <v>52200</v>
      </c>
      <c r="I23" s="731"/>
      <c r="J23" s="701"/>
      <c r="K23" s="816" t="s">
        <v>318</v>
      </c>
    </row>
    <row r="24" spans="1:10" s="139" customFormat="1" ht="12">
      <c r="A24" s="120" t="s">
        <v>318</v>
      </c>
      <c r="B24" s="135" t="s">
        <v>1441</v>
      </c>
      <c r="C24" s="106"/>
      <c r="D24" s="106"/>
      <c r="E24" s="121"/>
      <c r="F24" s="121"/>
      <c r="G24" s="121"/>
      <c r="H24" s="121"/>
      <c r="I24" s="129"/>
      <c r="J24" s="52"/>
    </row>
    <row r="25" spans="1:10" s="139" customFormat="1" ht="12.75" customHeight="1">
      <c r="A25" s="120">
        <v>1</v>
      </c>
      <c r="B25" s="127" t="s">
        <v>1498</v>
      </c>
      <c r="C25" s="106">
        <v>5</v>
      </c>
      <c r="D25" s="106">
        <v>15</v>
      </c>
      <c r="E25" s="121">
        <v>180</v>
      </c>
      <c r="F25" s="127">
        <f>C25*D25*E25</f>
        <v>13500</v>
      </c>
      <c r="G25" s="127"/>
      <c r="H25" s="143">
        <f>F25+G25</f>
        <v>13500</v>
      </c>
      <c r="I25" s="125" t="s">
        <v>541</v>
      </c>
      <c r="J25" s="52"/>
    </row>
    <row r="26" spans="1:10" s="31" customFormat="1" ht="12.75" thickBot="1">
      <c r="A26" s="228">
        <v>2</v>
      </c>
      <c r="B26" s="57" t="s">
        <v>441</v>
      </c>
      <c r="C26" s="67"/>
      <c r="D26" s="67"/>
      <c r="E26" s="57"/>
      <c r="F26" s="67">
        <v>900</v>
      </c>
      <c r="G26" s="74"/>
      <c r="H26" s="122">
        <f>F26+G26</f>
        <v>900</v>
      </c>
      <c r="I26" s="125" t="s">
        <v>541</v>
      </c>
      <c r="J26" s="3" t="s">
        <v>318</v>
      </c>
    </row>
    <row r="27" spans="1:10" s="739" customFormat="1" ht="12.75" customHeight="1" thickBot="1">
      <c r="A27" s="693"/>
      <c r="B27" s="697" t="s">
        <v>1783</v>
      </c>
      <c r="C27" s="696"/>
      <c r="D27" s="696"/>
      <c r="E27" s="697"/>
      <c r="F27" s="731">
        <f>SUM(F25:F26)</f>
        <v>14400</v>
      </c>
      <c r="G27" s="731">
        <f>SUM(G25:G25)</f>
        <v>0</v>
      </c>
      <c r="H27" s="756">
        <f>SUM(H25:H26)</f>
        <v>14400</v>
      </c>
      <c r="I27" s="731"/>
      <c r="J27" s="747"/>
    </row>
    <row r="28" spans="1:10" s="139" customFormat="1" ht="12">
      <c r="A28" s="120" t="s">
        <v>318</v>
      </c>
      <c r="B28" s="135" t="s">
        <v>1786</v>
      </c>
      <c r="C28" s="106"/>
      <c r="D28" s="106"/>
      <c r="E28" s="121"/>
      <c r="F28" s="121"/>
      <c r="G28" s="121"/>
      <c r="H28" s="121"/>
      <c r="I28" s="129"/>
      <c r="J28" s="52"/>
    </row>
    <row r="29" spans="1:10" s="139" customFormat="1" ht="12">
      <c r="A29" s="120">
        <v>1</v>
      </c>
      <c r="B29" s="121" t="s">
        <v>682</v>
      </c>
      <c r="C29" s="106">
        <v>5</v>
      </c>
      <c r="D29" s="106">
        <v>15</v>
      </c>
      <c r="E29" s="121">
        <v>180</v>
      </c>
      <c r="F29" s="127">
        <f>C29*D29*E29</f>
        <v>13500</v>
      </c>
      <c r="G29" s="121"/>
      <c r="H29" s="143">
        <f>F29+G29</f>
        <v>13500</v>
      </c>
      <c r="I29" s="125" t="s">
        <v>541</v>
      </c>
      <c r="J29" s="52"/>
    </row>
    <row r="30" spans="1:10" s="139" customFormat="1" ht="14.25" customHeight="1">
      <c r="A30" s="120">
        <v>2</v>
      </c>
      <c r="B30" s="127" t="s">
        <v>745</v>
      </c>
      <c r="C30" s="106">
        <v>10</v>
      </c>
      <c r="D30" s="106">
        <v>15</v>
      </c>
      <c r="E30" s="121">
        <v>180</v>
      </c>
      <c r="F30" s="127">
        <f>C30*D30*E30</f>
        <v>27000</v>
      </c>
      <c r="G30" s="127"/>
      <c r="H30" s="143">
        <f>F30+G30</f>
        <v>27000</v>
      </c>
      <c r="I30" s="125" t="s">
        <v>541</v>
      </c>
      <c r="J30" s="52"/>
    </row>
    <row r="31" spans="1:10" s="31" customFormat="1" ht="12.75" thickBot="1">
      <c r="A31" s="227">
        <v>3</v>
      </c>
      <c r="B31" s="57" t="s">
        <v>441</v>
      </c>
      <c r="C31" s="76"/>
      <c r="D31" s="76"/>
      <c r="E31" s="56"/>
      <c r="F31" s="76">
        <v>900</v>
      </c>
      <c r="G31" s="77"/>
      <c r="H31" s="122">
        <f>F31+G31</f>
        <v>900</v>
      </c>
      <c r="I31" s="1182" t="s">
        <v>318</v>
      </c>
      <c r="J31" s="3" t="s">
        <v>318</v>
      </c>
    </row>
    <row r="32" spans="1:10" s="739" customFormat="1" ht="12.75" customHeight="1" thickBot="1">
      <c r="A32" s="693"/>
      <c r="B32" s="697" t="s">
        <v>1783</v>
      </c>
      <c r="C32" s="696"/>
      <c r="D32" s="696"/>
      <c r="E32" s="697"/>
      <c r="F32" s="698">
        <f>SUM(F29:F31)</f>
        <v>41400</v>
      </c>
      <c r="G32" s="698">
        <f>SUM(G29:G31)</f>
        <v>0</v>
      </c>
      <c r="H32" s="698">
        <f>SUM(H29:H31)</f>
        <v>41400</v>
      </c>
      <c r="I32" s="731"/>
      <c r="J32" s="747"/>
    </row>
    <row r="33" spans="1:10" s="139" customFormat="1" ht="13.5" customHeight="1">
      <c r="A33" s="120" t="s">
        <v>318</v>
      </c>
      <c r="B33" s="135" t="s">
        <v>1149</v>
      </c>
      <c r="C33" s="106"/>
      <c r="D33" s="106"/>
      <c r="E33" s="121"/>
      <c r="F33" s="121"/>
      <c r="G33" s="121"/>
      <c r="H33" s="121"/>
      <c r="I33" s="129"/>
      <c r="J33" s="52"/>
    </row>
    <row r="34" spans="1:10" s="139" customFormat="1" ht="12">
      <c r="A34" s="120">
        <v>1</v>
      </c>
      <c r="B34" s="121" t="s">
        <v>1386</v>
      </c>
      <c r="C34" s="106">
        <v>4</v>
      </c>
      <c r="D34" s="106">
        <v>15</v>
      </c>
      <c r="E34" s="121">
        <v>180</v>
      </c>
      <c r="F34" s="96">
        <f>C34*D34*E34</f>
        <v>10800</v>
      </c>
      <c r="G34" s="127">
        <v>450</v>
      </c>
      <c r="H34" s="210">
        <f>F34+G34</f>
        <v>11250</v>
      </c>
      <c r="I34" s="125" t="s">
        <v>541</v>
      </c>
      <c r="J34" s="52"/>
    </row>
    <row r="35" spans="1:10" s="31" customFormat="1" ht="12.75" thickBot="1">
      <c r="A35" s="228">
        <v>2</v>
      </c>
      <c r="B35" s="57" t="s">
        <v>441</v>
      </c>
      <c r="C35" s="67"/>
      <c r="D35" s="67"/>
      <c r="E35" s="57"/>
      <c r="F35" s="67">
        <v>900</v>
      </c>
      <c r="G35" s="74"/>
      <c r="H35" s="122">
        <f>F35+G35</f>
        <v>900</v>
      </c>
      <c r="I35" s="125" t="s">
        <v>541</v>
      </c>
      <c r="J35" s="3" t="s">
        <v>318</v>
      </c>
    </row>
    <row r="36" spans="1:10" s="739" customFormat="1" ht="12.75" customHeight="1" thickBot="1">
      <c r="A36" s="693"/>
      <c r="B36" s="697" t="s">
        <v>1783</v>
      </c>
      <c r="C36" s="696"/>
      <c r="D36" s="696"/>
      <c r="E36" s="696"/>
      <c r="F36" s="703">
        <f>SUM(F34:F35)</f>
        <v>11700</v>
      </c>
      <c r="G36" s="703">
        <f>SUM(G34:G35)</f>
        <v>450</v>
      </c>
      <c r="H36" s="703">
        <f>SUM(H34:H35)</f>
        <v>12150</v>
      </c>
      <c r="I36" s="731"/>
      <c r="J36" s="747"/>
    </row>
    <row r="37" spans="1:10" s="139" customFormat="1" ht="13.5" customHeight="1">
      <c r="A37" s="120" t="s">
        <v>318</v>
      </c>
      <c r="B37" s="135" t="s">
        <v>1150</v>
      </c>
      <c r="C37" s="106"/>
      <c r="D37" s="106"/>
      <c r="E37" s="121"/>
      <c r="F37" s="121"/>
      <c r="G37" s="121"/>
      <c r="H37" s="121"/>
      <c r="I37" s="129"/>
      <c r="J37" s="52"/>
    </row>
    <row r="38" spans="1:10" s="139" customFormat="1" ht="12">
      <c r="A38" s="120">
        <v>1</v>
      </c>
      <c r="B38" s="121" t="s">
        <v>1168</v>
      </c>
      <c r="C38" s="106">
        <v>6</v>
      </c>
      <c r="D38" s="106">
        <v>15</v>
      </c>
      <c r="E38" s="121">
        <v>180</v>
      </c>
      <c r="F38" s="96">
        <f>C38*D38*E38</f>
        <v>16200</v>
      </c>
      <c r="G38" s="127"/>
      <c r="H38" s="210">
        <f>F38+G38</f>
        <v>16200</v>
      </c>
      <c r="I38" s="125" t="s">
        <v>541</v>
      </c>
      <c r="J38" s="52"/>
    </row>
    <row r="39" spans="1:10" s="31" customFormat="1" ht="12.75" thickBot="1">
      <c r="A39" s="228">
        <v>2</v>
      </c>
      <c r="B39" s="57" t="s">
        <v>441</v>
      </c>
      <c r="C39" s="67"/>
      <c r="D39" s="67"/>
      <c r="E39" s="57"/>
      <c r="F39" s="67">
        <v>900</v>
      </c>
      <c r="G39" s="74"/>
      <c r="H39" s="122">
        <f>F39+G39</f>
        <v>900</v>
      </c>
      <c r="I39" s="125" t="s">
        <v>541</v>
      </c>
      <c r="J39" s="3" t="s">
        <v>318</v>
      </c>
    </row>
    <row r="40" spans="1:10" s="739" customFormat="1" ht="12.75" customHeight="1" thickBot="1">
      <c r="A40" s="693"/>
      <c r="B40" s="697" t="s">
        <v>1783</v>
      </c>
      <c r="C40" s="696"/>
      <c r="D40" s="696"/>
      <c r="E40" s="696"/>
      <c r="F40" s="703">
        <f>SUM(F38:F39)</f>
        <v>17100</v>
      </c>
      <c r="G40" s="703">
        <f>SUM(G39:G39)</f>
        <v>0</v>
      </c>
      <c r="H40" s="703">
        <f>SUM(H38:H39)</f>
        <v>17100</v>
      </c>
      <c r="I40" s="731"/>
      <c r="J40" s="747"/>
    </row>
    <row r="41" spans="1:10" s="139" customFormat="1" ht="13.5" customHeight="1">
      <c r="A41" s="120" t="s">
        <v>318</v>
      </c>
      <c r="B41" s="135" t="s">
        <v>1205</v>
      </c>
      <c r="C41" s="106"/>
      <c r="D41" s="106"/>
      <c r="E41" s="121"/>
      <c r="F41" s="121"/>
      <c r="G41" s="121"/>
      <c r="H41" s="121"/>
      <c r="I41" s="129"/>
      <c r="J41" s="52"/>
    </row>
    <row r="42" spans="1:10" s="139" customFormat="1" ht="12">
      <c r="A42" s="120">
        <v>1</v>
      </c>
      <c r="B42" s="127" t="s">
        <v>1746</v>
      </c>
      <c r="C42" s="106">
        <v>5</v>
      </c>
      <c r="D42" s="106">
        <v>10</v>
      </c>
      <c r="E42" s="121">
        <v>180</v>
      </c>
      <c r="F42" s="127">
        <f>E42*D42*C42</f>
        <v>9000</v>
      </c>
      <c r="G42" s="127"/>
      <c r="H42" s="143">
        <f>F42+G42</f>
        <v>9000</v>
      </c>
      <c r="I42" s="125" t="s">
        <v>541</v>
      </c>
      <c r="J42" s="52"/>
    </row>
    <row r="43" spans="1:10" s="31" customFormat="1" ht="12.75" thickBot="1">
      <c r="A43" s="228">
        <v>2</v>
      </c>
      <c r="B43" s="57" t="s">
        <v>441</v>
      </c>
      <c r="C43" s="67"/>
      <c r="D43" s="67"/>
      <c r="E43" s="57"/>
      <c r="F43" s="67">
        <v>900</v>
      </c>
      <c r="G43" s="74"/>
      <c r="H43" s="122">
        <f>F43+G43</f>
        <v>900</v>
      </c>
      <c r="I43" s="125" t="s">
        <v>541</v>
      </c>
      <c r="J43" s="3" t="s">
        <v>318</v>
      </c>
    </row>
    <row r="44" spans="1:10" s="739" customFormat="1" ht="12.75" customHeight="1" thickBot="1">
      <c r="A44" s="693"/>
      <c r="B44" s="697" t="s">
        <v>1783</v>
      </c>
      <c r="C44" s="696"/>
      <c r="D44" s="696"/>
      <c r="E44" s="696"/>
      <c r="F44" s="703">
        <f>SUM(F42:F43)</f>
        <v>9900</v>
      </c>
      <c r="G44" s="703">
        <f>SUM(G42:G43)</f>
        <v>0</v>
      </c>
      <c r="H44" s="703">
        <f>SUM(H42:H43)</f>
        <v>9900</v>
      </c>
      <c r="I44" s="731"/>
      <c r="J44" s="747"/>
    </row>
    <row r="45" spans="1:10" s="139" customFormat="1" ht="12">
      <c r="A45" s="120"/>
      <c r="B45" s="135" t="s">
        <v>1206</v>
      </c>
      <c r="C45" s="106"/>
      <c r="D45" s="106"/>
      <c r="E45" s="121"/>
      <c r="F45" s="121"/>
      <c r="G45" s="121"/>
      <c r="H45" s="121"/>
      <c r="I45" s="129"/>
      <c r="J45" s="52"/>
    </row>
    <row r="46" spans="1:10" s="31" customFormat="1" ht="12.75" thickBot="1">
      <c r="A46" s="227">
        <v>1</v>
      </c>
      <c r="B46" s="57" t="s">
        <v>441</v>
      </c>
      <c r="C46" s="76"/>
      <c r="D46" s="76"/>
      <c r="E46" s="56"/>
      <c r="F46" s="76">
        <v>900</v>
      </c>
      <c r="G46" s="77"/>
      <c r="H46" s="122">
        <f>F46+G46</f>
        <v>900</v>
      </c>
      <c r="I46" s="125" t="s">
        <v>541</v>
      </c>
      <c r="J46" s="3" t="s">
        <v>318</v>
      </c>
    </row>
    <row r="47" spans="1:10" s="739" customFormat="1" ht="12.75" customHeight="1" thickBot="1">
      <c r="A47" s="693"/>
      <c r="B47" s="697" t="s">
        <v>1783</v>
      </c>
      <c r="C47" s="696"/>
      <c r="D47" s="696"/>
      <c r="E47" s="697"/>
      <c r="F47" s="697">
        <f>SUM(F46)</f>
        <v>900</v>
      </c>
      <c r="G47" s="697">
        <f>SUM(G46)</f>
        <v>0</v>
      </c>
      <c r="H47" s="698">
        <f>SUM(H46)</f>
        <v>900</v>
      </c>
      <c r="I47" s="731"/>
      <c r="J47" s="747"/>
    </row>
    <row r="48" spans="1:10" s="139" customFormat="1" ht="12">
      <c r="A48" s="120" t="s">
        <v>318</v>
      </c>
      <c r="B48" s="135" t="s">
        <v>138</v>
      </c>
      <c r="C48" s="106"/>
      <c r="D48" s="106"/>
      <c r="E48" s="121"/>
      <c r="F48" s="121"/>
      <c r="G48" s="121"/>
      <c r="H48" s="121"/>
      <c r="I48" s="129"/>
      <c r="J48" s="52"/>
    </row>
    <row r="49" spans="1:10" s="139" customFormat="1" ht="12">
      <c r="A49" s="140">
        <v>1</v>
      </c>
      <c r="B49" s="98" t="s">
        <v>867</v>
      </c>
      <c r="C49" s="97">
        <v>8</v>
      </c>
      <c r="D49" s="97">
        <v>15</v>
      </c>
      <c r="E49" s="105">
        <v>180</v>
      </c>
      <c r="F49" s="98">
        <f>C49*D49*E49</f>
        <v>21600</v>
      </c>
      <c r="G49" s="98"/>
      <c r="H49" s="141">
        <f>F49+G49</f>
        <v>21600</v>
      </c>
      <c r="I49" s="125" t="s">
        <v>541</v>
      </c>
      <c r="J49" s="52"/>
    </row>
    <row r="50" spans="1:10" s="139" customFormat="1" ht="12.75" customHeight="1">
      <c r="A50" s="218">
        <v>2</v>
      </c>
      <c r="B50" s="96" t="s">
        <v>683</v>
      </c>
      <c r="C50" s="85">
        <v>7</v>
      </c>
      <c r="D50" s="85">
        <v>15</v>
      </c>
      <c r="E50" s="104">
        <v>180</v>
      </c>
      <c r="F50" s="98">
        <f>C50*D50*E50</f>
        <v>18900</v>
      </c>
      <c r="G50" s="96"/>
      <c r="H50" s="216">
        <f>F50+G50</f>
        <v>18900</v>
      </c>
      <c r="I50" s="125" t="s">
        <v>541</v>
      </c>
      <c r="J50" s="52"/>
    </row>
    <row r="51" spans="1:10" s="139" customFormat="1" ht="12.75" customHeight="1">
      <c r="A51" s="120">
        <v>3</v>
      </c>
      <c r="B51" s="127" t="s">
        <v>1404</v>
      </c>
      <c r="C51" s="106">
        <v>2</v>
      </c>
      <c r="D51" s="106">
        <v>15</v>
      </c>
      <c r="E51" s="121">
        <v>180</v>
      </c>
      <c r="F51" s="98">
        <f>C51*D51*E51</f>
        <v>5400</v>
      </c>
      <c r="G51" s="127"/>
      <c r="H51" s="210">
        <f>F51+G51</f>
        <v>5400</v>
      </c>
      <c r="I51" s="125" t="s">
        <v>541</v>
      </c>
      <c r="J51" s="52"/>
    </row>
    <row r="52" spans="1:10" s="31" customFormat="1" ht="12.75" thickBot="1">
      <c r="A52" s="228">
        <v>4</v>
      </c>
      <c r="B52" s="57" t="s">
        <v>441</v>
      </c>
      <c r="C52" s="67"/>
      <c r="D52" s="67"/>
      <c r="E52" s="57"/>
      <c r="F52" s="67">
        <v>900</v>
      </c>
      <c r="G52" s="74"/>
      <c r="H52" s="122">
        <f>F52+G52</f>
        <v>900</v>
      </c>
      <c r="I52" s="125" t="s">
        <v>541</v>
      </c>
      <c r="J52" s="3" t="s">
        <v>318</v>
      </c>
    </row>
    <row r="53" spans="1:10" s="739" customFormat="1" ht="12.75" customHeight="1" thickBot="1">
      <c r="A53" s="693"/>
      <c r="B53" s="697" t="s">
        <v>1783</v>
      </c>
      <c r="C53" s="696"/>
      <c r="D53" s="696"/>
      <c r="E53" s="697"/>
      <c r="F53" s="698">
        <f>SUM(F49:F52)</f>
        <v>46800</v>
      </c>
      <c r="G53" s="698">
        <f>SUM(G49:G52)</f>
        <v>0</v>
      </c>
      <c r="H53" s="698">
        <f>SUM(H49:H52)</f>
        <v>46800</v>
      </c>
      <c r="I53" s="731"/>
      <c r="J53" s="747"/>
    </row>
    <row r="54" spans="1:10" s="139" customFormat="1" ht="12">
      <c r="A54" s="120"/>
      <c r="B54" s="197" t="s">
        <v>139</v>
      </c>
      <c r="C54" s="106"/>
      <c r="D54" s="106"/>
      <c r="E54" s="121"/>
      <c r="F54" s="127"/>
      <c r="G54" s="127"/>
      <c r="H54" s="127"/>
      <c r="I54" s="129"/>
      <c r="J54" s="52"/>
    </row>
    <row r="55" spans="1:10" s="139" customFormat="1" ht="12">
      <c r="A55" s="140">
        <v>1</v>
      </c>
      <c r="B55" s="98" t="s">
        <v>1835</v>
      </c>
      <c r="C55" s="97">
        <v>8</v>
      </c>
      <c r="D55" s="97">
        <v>15</v>
      </c>
      <c r="E55" s="105">
        <v>180</v>
      </c>
      <c r="F55" s="98">
        <f>C55*D55*E55</f>
        <v>21600</v>
      </c>
      <c r="G55" s="98">
        <v>0</v>
      </c>
      <c r="H55" s="141">
        <f>F55+G55</f>
        <v>21600</v>
      </c>
      <c r="I55" s="125" t="s">
        <v>541</v>
      </c>
      <c r="J55" s="52"/>
    </row>
    <row r="56" spans="1:10" s="139" customFormat="1" ht="12">
      <c r="A56" s="218">
        <v>2</v>
      </c>
      <c r="B56" s="96" t="s">
        <v>852</v>
      </c>
      <c r="C56" s="85">
        <v>10</v>
      </c>
      <c r="D56" s="85">
        <v>15</v>
      </c>
      <c r="E56" s="104">
        <v>180</v>
      </c>
      <c r="F56" s="98">
        <f>C56*D56*E56</f>
        <v>27000</v>
      </c>
      <c r="G56" s="96"/>
      <c r="H56" s="210">
        <f>F56+G56</f>
        <v>27000</v>
      </c>
      <c r="I56" s="125" t="s">
        <v>541</v>
      </c>
      <c r="J56" s="52"/>
    </row>
    <row r="57" spans="1:10" s="139" customFormat="1" ht="12">
      <c r="A57" s="120">
        <v>3</v>
      </c>
      <c r="B57" s="121" t="s">
        <v>257</v>
      </c>
      <c r="C57" s="106">
        <v>8</v>
      </c>
      <c r="D57" s="106">
        <v>15</v>
      </c>
      <c r="E57" s="121">
        <v>180</v>
      </c>
      <c r="F57" s="98">
        <f>C57*D57*E57</f>
        <v>21600</v>
      </c>
      <c r="G57" s="127"/>
      <c r="H57" s="210">
        <f>F57+G57</f>
        <v>21600</v>
      </c>
      <c r="I57" s="125" t="s">
        <v>541</v>
      </c>
      <c r="J57" s="52"/>
    </row>
    <row r="58" spans="1:10" s="31" customFormat="1" ht="12.75" thickBot="1">
      <c r="A58" s="228">
        <v>4</v>
      </c>
      <c r="B58" s="57" t="s">
        <v>441</v>
      </c>
      <c r="C58" s="67"/>
      <c r="D58" s="67"/>
      <c r="E58" s="57"/>
      <c r="F58" s="67">
        <v>900</v>
      </c>
      <c r="G58" s="74"/>
      <c r="H58" s="122">
        <f>F58+G58</f>
        <v>900</v>
      </c>
      <c r="I58" s="125" t="s">
        <v>541</v>
      </c>
      <c r="J58" s="3" t="s">
        <v>318</v>
      </c>
    </row>
    <row r="59" spans="1:10" s="739" customFormat="1" ht="12.75" customHeight="1" thickBot="1">
      <c r="A59" s="693"/>
      <c r="B59" s="697" t="s">
        <v>1783</v>
      </c>
      <c r="C59" s="696"/>
      <c r="D59" s="696"/>
      <c r="E59" s="697"/>
      <c r="F59" s="703">
        <f>SUM(F55:F58)</f>
        <v>71100</v>
      </c>
      <c r="G59" s="703">
        <f>SUM(G55:G58)</f>
        <v>0</v>
      </c>
      <c r="H59" s="703">
        <f>SUM(H55:H58)</f>
        <v>71100</v>
      </c>
      <c r="I59" s="731"/>
      <c r="J59" s="747"/>
    </row>
    <row r="60" spans="1:10" s="139" customFormat="1" ht="12">
      <c r="A60" s="120" t="s">
        <v>318</v>
      </c>
      <c r="B60" s="135" t="s">
        <v>140</v>
      </c>
      <c r="C60" s="106"/>
      <c r="D60" s="106"/>
      <c r="E60" s="121"/>
      <c r="F60" s="121"/>
      <c r="G60" s="121"/>
      <c r="H60" s="121"/>
      <c r="I60" s="129"/>
      <c r="J60" s="52"/>
    </row>
    <row r="61" spans="1:10" s="31" customFormat="1" ht="12.75" thickBot="1">
      <c r="A61" s="228">
        <v>1</v>
      </c>
      <c r="B61" s="57" t="s">
        <v>441</v>
      </c>
      <c r="C61" s="67"/>
      <c r="D61" s="67"/>
      <c r="E61" s="57"/>
      <c r="F61" s="67">
        <v>900</v>
      </c>
      <c r="G61" s="74"/>
      <c r="H61" s="122">
        <f>F61+G61</f>
        <v>900</v>
      </c>
      <c r="I61" s="125" t="s">
        <v>541</v>
      </c>
      <c r="J61" s="3" t="s">
        <v>318</v>
      </c>
    </row>
    <row r="62" spans="1:10" s="739" customFormat="1" ht="12.75" customHeight="1" thickBot="1">
      <c r="A62" s="693"/>
      <c r="B62" s="697" t="s">
        <v>1783</v>
      </c>
      <c r="C62" s="696"/>
      <c r="D62" s="696"/>
      <c r="E62" s="697"/>
      <c r="F62" s="697">
        <f>SUM(F61:F61)</f>
        <v>900</v>
      </c>
      <c r="G62" s="697">
        <f>SUM(G61:G61)</f>
        <v>0</v>
      </c>
      <c r="H62" s="698">
        <f>SUM(H61:H61)</f>
        <v>900</v>
      </c>
      <c r="I62" s="719"/>
      <c r="J62" s="747"/>
    </row>
    <row r="63" spans="1:10" s="139" customFormat="1" ht="12">
      <c r="A63" s="120" t="s">
        <v>318</v>
      </c>
      <c r="B63" s="135" t="s">
        <v>141</v>
      </c>
      <c r="C63" s="106"/>
      <c r="D63" s="106"/>
      <c r="E63" s="121"/>
      <c r="F63" s="121"/>
      <c r="G63" s="121"/>
      <c r="H63" s="121"/>
      <c r="I63" s="129"/>
      <c r="J63" s="52"/>
    </row>
    <row r="64" spans="1:10" s="31" customFormat="1" ht="12.75" thickBot="1">
      <c r="A64" s="228">
        <v>1</v>
      </c>
      <c r="B64" s="57" t="s">
        <v>441</v>
      </c>
      <c r="C64" s="67"/>
      <c r="D64" s="67"/>
      <c r="E64" s="57"/>
      <c r="F64" s="67">
        <v>900</v>
      </c>
      <c r="G64" s="74"/>
      <c r="H64" s="122">
        <f>F64+G64</f>
        <v>900</v>
      </c>
      <c r="I64" s="125" t="s">
        <v>541</v>
      </c>
      <c r="J64" s="3" t="s">
        <v>318</v>
      </c>
    </row>
    <row r="65" spans="1:10" s="739" customFormat="1" ht="12.75" customHeight="1" thickBot="1">
      <c r="A65" s="693"/>
      <c r="B65" s="697" t="s">
        <v>1783</v>
      </c>
      <c r="C65" s="696"/>
      <c r="D65" s="696"/>
      <c r="E65" s="697"/>
      <c r="F65" s="697">
        <f>SUM(F64:F64)</f>
        <v>900</v>
      </c>
      <c r="G65" s="697">
        <f>SUM(G64:G64)</f>
        <v>0</v>
      </c>
      <c r="H65" s="698">
        <f>SUM(H64:H64)</f>
        <v>900</v>
      </c>
      <c r="I65" s="719"/>
      <c r="J65" s="747"/>
    </row>
    <row r="66" spans="1:11" s="722" customFormat="1" ht="15.75" customHeight="1" thickBot="1">
      <c r="A66" s="749" t="s">
        <v>318</v>
      </c>
      <c r="B66" s="205" t="s">
        <v>1216</v>
      </c>
      <c r="C66" s="205"/>
      <c r="D66" s="205"/>
      <c r="E66" s="206"/>
      <c r="F66" s="757">
        <f>F15+F23+F27+F32+F36+F47+F53+F59+F62+F40+F44+F65</f>
        <v>357300</v>
      </c>
      <c r="G66" s="757">
        <f>G15+G23+G27+G32+G36+G47+G53+G59+G62+G40+G44+G65</f>
        <v>450</v>
      </c>
      <c r="H66" s="757">
        <f>H15+H23+H27+H32+H36+H47+H53+H59+H62+H40+H44+H65</f>
        <v>357750</v>
      </c>
      <c r="I66" s="735"/>
      <c r="J66" s="753"/>
      <c r="K66" s="811">
        <f>SUM(F66:G66)</f>
        <v>357750</v>
      </c>
    </row>
    <row r="67" s="139" customFormat="1" ht="12">
      <c r="J67" s="52"/>
    </row>
    <row r="69" spans="2:10" s="139" customFormat="1" ht="12">
      <c r="B69" s="139" t="s">
        <v>1395</v>
      </c>
      <c r="J69" s="52"/>
    </row>
    <row r="70" spans="2:10" s="139" customFormat="1" ht="12">
      <c r="B70" s="139" t="s">
        <v>318</v>
      </c>
      <c r="J70" s="52"/>
    </row>
    <row r="71" s="139" customFormat="1" ht="12">
      <c r="J71" s="52"/>
    </row>
    <row r="72" s="139" customFormat="1" ht="12">
      <c r="J72" s="52"/>
    </row>
    <row r="73" s="139" customFormat="1" ht="12">
      <c r="J73" s="52"/>
    </row>
    <row r="74" s="139" customFormat="1" ht="12">
      <c r="J74" s="52"/>
    </row>
    <row r="75" s="139" customFormat="1" ht="12">
      <c r="J75" s="52"/>
    </row>
    <row r="76" s="139" customFormat="1" ht="12">
      <c r="J76" s="52"/>
    </row>
    <row r="77" s="139" customFormat="1" ht="12">
      <c r="J77" s="52"/>
    </row>
    <row r="78" s="139" customFormat="1" ht="12">
      <c r="J78" s="52"/>
    </row>
    <row r="79" s="139" customFormat="1" ht="12">
      <c r="J79" s="52"/>
    </row>
    <row r="80" s="139" customFormat="1" ht="12">
      <c r="J80" s="52"/>
    </row>
    <row r="81" s="139" customFormat="1" ht="12">
      <c r="J81" s="52"/>
    </row>
    <row r="82" s="139" customFormat="1" ht="12">
      <c r="J82" s="52"/>
    </row>
    <row r="83" s="139" customFormat="1" ht="12">
      <c r="J83" s="52"/>
    </row>
    <row r="84" s="139" customFormat="1" ht="12">
      <c r="J84" s="52"/>
    </row>
    <row r="85" s="139" customFormat="1" ht="12">
      <c r="J85" s="52"/>
    </row>
    <row r="86" s="139" customFormat="1" ht="12">
      <c r="J86" s="52"/>
    </row>
    <row r="87" s="139" customFormat="1" ht="12">
      <c r="J87" s="52"/>
    </row>
    <row r="88" s="139" customFormat="1" ht="12">
      <c r="J88" s="52"/>
    </row>
    <row r="89" s="139" customFormat="1" ht="12">
      <c r="J89" s="52"/>
    </row>
    <row r="90" s="139" customFormat="1" ht="12">
      <c r="J90" s="52"/>
    </row>
    <row r="91" s="139" customFormat="1" ht="12">
      <c r="J91" s="52"/>
    </row>
    <row r="92" s="139" customFormat="1" ht="12">
      <c r="J92" s="52"/>
    </row>
    <row r="93" s="139" customFormat="1" ht="12">
      <c r="J93" s="52"/>
    </row>
    <row r="94" s="139" customFormat="1" ht="12">
      <c r="J94" s="52"/>
    </row>
    <row r="95" s="139" customFormat="1" ht="12">
      <c r="J95" s="52"/>
    </row>
    <row r="96" s="139" customFormat="1" ht="12">
      <c r="J96" s="52"/>
    </row>
    <row r="97" s="139" customFormat="1" ht="12">
      <c r="J97" s="52"/>
    </row>
    <row r="98" s="139" customFormat="1" ht="12">
      <c r="J98" s="52"/>
    </row>
    <row r="99" s="139" customFormat="1" ht="12">
      <c r="J99" s="52"/>
    </row>
    <row r="100" s="139" customFormat="1" ht="12">
      <c r="J100" s="52"/>
    </row>
    <row r="101" s="139" customFormat="1" ht="12">
      <c r="J101" s="52"/>
    </row>
    <row r="102" s="139" customFormat="1" ht="12">
      <c r="J102" s="52"/>
    </row>
    <row r="103" s="139" customFormat="1" ht="12">
      <c r="J103" s="52"/>
    </row>
    <row r="104" s="139" customFormat="1" ht="12">
      <c r="J104" s="52"/>
    </row>
    <row r="105" s="139" customFormat="1" ht="12">
      <c r="J105" s="52"/>
    </row>
    <row r="106" s="139" customFormat="1" ht="12">
      <c r="J106" s="52"/>
    </row>
    <row r="107" s="139" customFormat="1" ht="12">
      <c r="J107" s="52"/>
    </row>
    <row r="108" s="139" customFormat="1" ht="12">
      <c r="J108" s="52"/>
    </row>
    <row r="109" s="139" customFormat="1" ht="12">
      <c r="J109" s="52"/>
    </row>
    <row r="110" s="139" customFormat="1" ht="12">
      <c r="J110" s="52"/>
    </row>
    <row r="111" s="139" customFormat="1" ht="12">
      <c r="J111" s="52"/>
    </row>
    <row r="112" s="139" customFormat="1" ht="12">
      <c r="J112" s="52"/>
    </row>
    <row r="113" s="139" customFormat="1" ht="12">
      <c r="J113" s="52"/>
    </row>
    <row r="114" s="139" customFormat="1" ht="12">
      <c r="J114" s="52"/>
    </row>
    <row r="115" s="139" customFormat="1" ht="12">
      <c r="J115" s="52"/>
    </row>
    <row r="116" s="139" customFormat="1" ht="12">
      <c r="J116" s="52"/>
    </row>
    <row r="117" s="139" customFormat="1" ht="12">
      <c r="J117" s="52"/>
    </row>
    <row r="118" s="139" customFormat="1" ht="12">
      <c r="J118" s="52"/>
    </row>
    <row r="119" s="139" customFormat="1" ht="12">
      <c r="J119" s="52"/>
    </row>
    <row r="120" s="139" customFormat="1" ht="12">
      <c r="J120" s="52"/>
    </row>
  </sheetData>
  <mergeCells count="4">
    <mergeCell ref="A6:A7"/>
    <mergeCell ref="B6:B7"/>
    <mergeCell ref="C6:F6"/>
    <mergeCell ref="C5:G5"/>
  </mergeCells>
  <printOptions/>
  <pageMargins left="0.7874015748031497" right="0.3937007874015748" top="0.984251968503937" bottom="0.5905511811023623" header="0.9055118110236221" footer="0"/>
  <pageSetup firstPageNumber="72" useFirstPageNumber="1" horizontalDpi="120" verticalDpi="120" orientation="landscape" paperSize="9" r:id="rId1"/>
  <headerFooter alignWithMargins="0">
    <oddHeader>&amp;C
</oddHeader>
  </headerFooter>
  <rowBreaks count="1" manualBreakCount="1">
    <brk id="3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4"/>
  <dimension ref="A1:X31"/>
  <sheetViews>
    <sheetView showZeros="0" zoomScale="75" zoomScaleNormal="75" zoomScaleSheetLayoutView="75" workbookViewId="0" topLeftCell="A1">
      <pane xSplit="2" topLeftCell="D1" activePane="topRight" state="frozen"/>
      <selection pane="topLeft" activeCell="A28" sqref="A28"/>
      <selection pane="topRight" activeCell="F31" sqref="F31"/>
    </sheetView>
  </sheetViews>
  <sheetFormatPr defaultColWidth="9.00390625" defaultRowHeight="12.75" customHeight="1"/>
  <cols>
    <col min="1" max="1" width="3.75390625" style="39" customWidth="1"/>
    <col min="2" max="2" width="28.875" style="39" customWidth="1"/>
    <col min="3" max="3" width="6.375" style="39" customWidth="1"/>
    <col min="4" max="4" width="6.875" style="39" customWidth="1"/>
    <col min="5" max="5" width="8.375" style="39" customWidth="1"/>
    <col min="6" max="6" width="6.875" style="39" customWidth="1"/>
    <col min="7" max="7" width="6.75390625" style="39" customWidth="1"/>
    <col min="8" max="8" width="6.375" style="39" customWidth="1"/>
    <col min="9" max="9" width="4.875" style="39" hidden="1" customWidth="1"/>
    <col min="10" max="10" width="6.375" style="39" customWidth="1"/>
    <col min="11" max="11" width="6.25390625" style="39" customWidth="1"/>
    <col min="12" max="12" width="6.375" style="39" customWidth="1"/>
    <col min="13" max="13" width="7.25390625" style="39" customWidth="1"/>
    <col min="14" max="14" width="8.375" style="39" customWidth="1"/>
    <col min="15" max="15" width="9.875" style="39" customWidth="1"/>
    <col min="16" max="16" width="12.875" style="908" customWidth="1"/>
    <col min="17" max="17" width="16.375" style="921" customWidth="1"/>
    <col min="18" max="18" width="10.125" style="39" bestFit="1" customWidth="1"/>
    <col min="19" max="19" width="9.125" style="39" customWidth="1"/>
    <col min="20" max="20" width="7.00390625" style="39" customWidth="1"/>
    <col min="21" max="16384" width="9.125" style="39" customWidth="1"/>
  </cols>
  <sheetData>
    <row r="1" ht="12.75" customHeight="1">
      <c r="B1" s="33" t="s">
        <v>1577</v>
      </c>
    </row>
    <row r="2" spans="2:16" ht="12.75" customHeight="1" thickBot="1">
      <c r="B2" s="33"/>
      <c r="P2" s="909" t="s">
        <v>1683</v>
      </c>
    </row>
    <row r="3" spans="1:18" ht="12.75" customHeight="1" thickBot="1">
      <c r="A3" s="715"/>
      <c r="B3" s="715"/>
      <c r="C3" s="1915" t="s">
        <v>1034</v>
      </c>
      <c r="D3" s="1916"/>
      <c r="E3" s="1916"/>
      <c r="F3" s="1916"/>
      <c r="G3" s="1916"/>
      <c r="H3" s="1874"/>
      <c r="I3" s="1849" t="s">
        <v>1035</v>
      </c>
      <c r="J3" s="1850"/>
      <c r="K3" s="1850"/>
      <c r="L3" s="1851"/>
      <c r="M3" s="717">
        <v>340</v>
      </c>
      <c r="N3" s="717" t="s">
        <v>1446</v>
      </c>
      <c r="O3" s="715"/>
      <c r="P3" s="910"/>
      <c r="R3" s="53"/>
    </row>
    <row r="4" spans="1:18" s="185" customFormat="1" ht="12.75" customHeight="1" thickBot="1">
      <c r="A4" s="1852" t="s">
        <v>316</v>
      </c>
      <c r="B4" s="1852" t="s">
        <v>317</v>
      </c>
      <c r="C4" s="1854" t="s">
        <v>1040</v>
      </c>
      <c r="D4" s="1855"/>
      <c r="E4" s="1855"/>
      <c r="F4" s="1855"/>
      <c r="G4" s="1855"/>
      <c r="H4" s="155" t="s">
        <v>1094</v>
      </c>
      <c r="I4" s="1842" t="s">
        <v>902</v>
      </c>
      <c r="J4" s="1842"/>
      <c r="K4" s="1842"/>
      <c r="L4" s="1843"/>
      <c r="M4" s="714" t="s">
        <v>108</v>
      </c>
      <c r="N4" s="714" t="s">
        <v>1400</v>
      </c>
      <c r="O4" s="755" t="s">
        <v>265</v>
      </c>
      <c r="P4" s="911" t="s">
        <v>1415</v>
      </c>
      <c r="Q4" s="921"/>
      <c r="R4" s="53"/>
    </row>
    <row r="5" spans="1:18" s="185" customFormat="1" ht="12.75" customHeight="1" thickBot="1">
      <c r="A5" s="1866"/>
      <c r="B5" s="1866"/>
      <c r="C5" s="115" t="s">
        <v>776</v>
      </c>
      <c r="D5" s="158" t="s">
        <v>777</v>
      </c>
      <c r="E5" s="158" t="s">
        <v>69</v>
      </c>
      <c r="F5" s="116" t="s">
        <v>778</v>
      </c>
      <c r="G5" s="291" t="s">
        <v>467</v>
      </c>
      <c r="H5" s="156" t="s">
        <v>1095</v>
      </c>
      <c r="I5" s="177" t="s">
        <v>1357</v>
      </c>
      <c r="J5" s="180" t="s">
        <v>1356</v>
      </c>
      <c r="K5" s="179" t="s">
        <v>785</v>
      </c>
      <c r="L5" s="180" t="s">
        <v>778</v>
      </c>
      <c r="M5" s="181"/>
      <c r="N5" s="181" t="s">
        <v>781</v>
      </c>
      <c r="O5" s="209" t="s">
        <v>1364</v>
      </c>
      <c r="P5" s="912"/>
      <c r="Q5" s="921"/>
      <c r="R5" s="53"/>
    </row>
    <row r="6" spans="1:18" ht="12.75" customHeight="1">
      <c r="A6" s="120" t="s">
        <v>318</v>
      </c>
      <c r="B6" s="135" t="s">
        <v>1784</v>
      </c>
      <c r="C6" s="106"/>
      <c r="D6" s="106"/>
      <c r="E6" s="121"/>
      <c r="F6" s="121"/>
      <c r="G6" s="121"/>
      <c r="H6" s="127"/>
      <c r="I6" s="106"/>
      <c r="J6" s="106"/>
      <c r="K6" s="121"/>
      <c r="L6" s="121"/>
      <c r="M6" s="121"/>
      <c r="N6" s="121"/>
      <c r="O6" s="145"/>
      <c r="P6" s="913"/>
      <c r="Q6" s="921" t="s">
        <v>968</v>
      </c>
      <c r="R6" s="53"/>
    </row>
    <row r="7" spans="1:18" ht="12.75" customHeight="1" thickBot="1">
      <c r="A7" s="120">
        <v>1</v>
      </c>
      <c r="B7" s="121" t="s">
        <v>1767</v>
      </c>
      <c r="C7" s="106">
        <v>38</v>
      </c>
      <c r="D7" s="106">
        <v>2</v>
      </c>
      <c r="E7" s="106">
        <v>170</v>
      </c>
      <c r="F7" s="127">
        <f>C7*D7*E7</f>
        <v>12920</v>
      </c>
      <c r="G7" s="124">
        <f>F7*0.228</f>
        <v>2946</v>
      </c>
      <c r="H7" s="124">
        <v>5500</v>
      </c>
      <c r="I7" s="106"/>
      <c r="J7" s="106">
        <v>40</v>
      </c>
      <c r="K7" s="121">
        <v>200</v>
      </c>
      <c r="L7" s="121">
        <f>J7*K7</f>
        <v>8000</v>
      </c>
      <c r="M7" s="121"/>
      <c r="N7" s="121">
        <v>10000</v>
      </c>
      <c r="O7" s="124">
        <f>F7+L7+M7+N7+G7+H7</f>
        <v>39366</v>
      </c>
      <c r="P7" s="914" t="s">
        <v>541</v>
      </c>
      <c r="Q7" s="921" t="s">
        <v>969</v>
      </c>
      <c r="R7" s="53"/>
    </row>
    <row r="8" spans="1:21" s="732" customFormat="1" ht="12.75" customHeight="1" thickBot="1">
      <c r="A8" s="693"/>
      <c r="B8" s="697" t="s">
        <v>1783</v>
      </c>
      <c r="C8" s="696"/>
      <c r="D8" s="696"/>
      <c r="E8" s="697"/>
      <c r="F8" s="698">
        <f>SUM(F7:F7)</f>
        <v>12920</v>
      </c>
      <c r="G8" s="698">
        <f>SUM(G7:G7)</f>
        <v>2946</v>
      </c>
      <c r="H8" s="698">
        <f>SUM(H7:H7)</f>
        <v>5500</v>
      </c>
      <c r="I8" s="696" t="s">
        <v>318</v>
      </c>
      <c r="J8" s="696" t="s">
        <v>318</v>
      </c>
      <c r="K8" s="697" t="s">
        <v>318</v>
      </c>
      <c r="L8" s="698">
        <f>SUM(L7:L7)</f>
        <v>8000</v>
      </c>
      <c r="M8" s="698">
        <f>SUM(M7:M7)</f>
        <v>0</v>
      </c>
      <c r="N8" s="698">
        <f>SUM(N7:N7)</f>
        <v>10000</v>
      </c>
      <c r="O8" s="703">
        <f>SUM(O7:O7)</f>
        <v>39366</v>
      </c>
      <c r="P8" s="915"/>
      <c r="Q8" s="922" t="s">
        <v>318</v>
      </c>
      <c r="R8" s="53">
        <f>SUM(F8:N8)</f>
        <v>39366</v>
      </c>
      <c r="U8" s="733"/>
    </row>
    <row r="9" spans="1:18" ht="12.75" customHeight="1">
      <c r="A9" s="120" t="s">
        <v>318</v>
      </c>
      <c r="B9" s="135" t="s">
        <v>1786</v>
      </c>
      <c r="C9" s="106"/>
      <c r="D9" s="106"/>
      <c r="E9" s="121"/>
      <c r="F9" s="121"/>
      <c r="G9" s="124"/>
      <c r="H9" s="124"/>
      <c r="I9" s="106"/>
      <c r="J9" s="106"/>
      <c r="K9" s="121"/>
      <c r="L9" s="121"/>
      <c r="M9" s="121"/>
      <c r="N9" s="121"/>
      <c r="O9" s="127"/>
      <c r="P9" s="913"/>
      <c r="R9" s="53">
        <f>SUM(F9:N9)</f>
        <v>0</v>
      </c>
    </row>
    <row r="10" spans="1:18" ht="12.75" customHeight="1" thickBot="1">
      <c r="A10" s="120">
        <v>1</v>
      </c>
      <c r="B10" s="121" t="s">
        <v>1768</v>
      </c>
      <c r="C10" s="106">
        <v>46</v>
      </c>
      <c r="D10" s="106">
        <v>2</v>
      </c>
      <c r="E10" s="106">
        <v>170</v>
      </c>
      <c r="F10" s="127">
        <f>C10*D10*E10</f>
        <v>15640</v>
      </c>
      <c r="G10" s="124">
        <f>F10*23.1/100</f>
        <v>3613</v>
      </c>
      <c r="H10" s="124">
        <v>5720</v>
      </c>
      <c r="I10" s="106"/>
      <c r="J10" s="106">
        <v>0</v>
      </c>
      <c r="K10" s="121">
        <v>0</v>
      </c>
      <c r="L10" s="121">
        <f>J10*K10</f>
        <v>0</v>
      </c>
      <c r="M10" s="121">
        <v>8000</v>
      </c>
      <c r="N10" s="121"/>
      <c r="O10" s="124">
        <f>F10+L10+M10+N10+G10+H10</f>
        <v>32973</v>
      </c>
      <c r="P10" s="914" t="s">
        <v>541</v>
      </c>
      <c r="Q10" s="921" t="s">
        <v>318</v>
      </c>
      <c r="R10" s="53"/>
    </row>
    <row r="11" spans="1:21" s="732" customFormat="1" ht="12.75" customHeight="1" thickBot="1">
      <c r="A11" s="693"/>
      <c r="B11" s="697" t="s">
        <v>1783</v>
      </c>
      <c r="C11" s="696"/>
      <c r="D11" s="696"/>
      <c r="E11" s="697"/>
      <c r="F11" s="698">
        <f>SUM(F10:F10)</f>
        <v>15640</v>
      </c>
      <c r="G11" s="698">
        <f>SUM(G10:G10)</f>
        <v>3613</v>
      </c>
      <c r="H11" s="698">
        <f>SUM(H10:H10)</f>
        <v>5720</v>
      </c>
      <c r="I11" s="696" t="s">
        <v>318</v>
      </c>
      <c r="J11" s="696" t="s">
        <v>318</v>
      </c>
      <c r="K11" s="697" t="s">
        <v>318</v>
      </c>
      <c r="L11" s="698">
        <f>SUM(L10:L10)</f>
        <v>0</v>
      </c>
      <c r="M11" s="698">
        <f>SUM(M10:M10)</f>
        <v>8000</v>
      </c>
      <c r="N11" s="698">
        <f>SUM(N10:N10)</f>
        <v>0</v>
      </c>
      <c r="O11" s="703">
        <f>SUM(O10:O10)</f>
        <v>32973</v>
      </c>
      <c r="P11" s="915"/>
      <c r="Q11" s="922" t="s">
        <v>318</v>
      </c>
      <c r="R11" s="53">
        <f>SUM(F11:N11)</f>
        <v>32973</v>
      </c>
      <c r="U11" s="733"/>
    </row>
    <row r="12" spans="1:18" ht="12.75" customHeight="1">
      <c r="A12" s="120" t="s">
        <v>318</v>
      </c>
      <c r="B12" s="135" t="s">
        <v>138</v>
      </c>
      <c r="C12" s="106"/>
      <c r="D12" s="106"/>
      <c r="E12" s="121"/>
      <c r="F12" s="121"/>
      <c r="G12" s="124"/>
      <c r="H12" s="124"/>
      <c r="I12" s="106"/>
      <c r="J12" s="106"/>
      <c r="K12" s="121"/>
      <c r="L12" s="121"/>
      <c r="M12" s="121"/>
      <c r="N12" s="121"/>
      <c r="O12" s="127"/>
      <c r="P12" s="913"/>
      <c r="R12" s="53">
        <f>SUM(F12:N12)</f>
        <v>0</v>
      </c>
    </row>
    <row r="13" spans="1:18" s="188" customFormat="1" ht="12.75" customHeight="1">
      <c r="A13" s="194">
        <v>1</v>
      </c>
      <c r="B13" s="195" t="s">
        <v>180</v>
      </c>
      <c r="C13" s="170">
        <v>22</v>
      </c>
      <c r="D13" s="170">
        <v>2</v>
      </c>
      <c r="E13" s="184">
        <v>170</v>
      </c>
      <c r="F13" s="195">
        <f>C13*D13*E13</f>
        <v>7480</v>
      </c>
      <c r="G13" s="196">
        <f>F13*0.228</f>
        <v>1705</v>
      </c>
      <c r="H13" s="196">
        <v>5000</v>
      </c>
      <c r="I13" s="170"/>
      <c r="J13" s="170">
        <v>40</v>
      </c>
      <c r="K13" s="184">
        <v>200</v>
      </c>
      <c r="L13" s="195">
        <f>J13*K13</f>
        <v>8000</v>
      </c>
      <c r="M13" s="195"/>
      <c r="N13" s="195">
        <v>0</v>
      </c>
      <c r="O13" s="196">
        <f>F13+F14+G13+H13+L13+M13+N13</f>
        <v>34185</v>
      </c>
      <c r="P13" s="916" t="s">
        <v>1353</v>
      </c>
      <c r="Q13" s="921" t="s">
        <v>258</v>
      </c>
      <c r="R13" s="53"/>
    </row>
    <row r="14" spans="1:18" s="188" customFormat="1" ht="12.75" customHeight="1" thickBot="1">
      <c r="A14" s="194"/>
      <c r="B14" s="184" t="s">
        <v>1266</v>
      </c>
      <c r="C14" s="170"/>
      <c r="D14" s="170"/>
      <c r="E14" s="184"/>
      <c r="F14" s="184">
        <v>12000</v>
      </c>
      <c r="G14" s="270"/>
      <c r="H14" s="196"/>
      <c r="I14" s="170"/>
      <c r="J14" s="170"/>
      <c r="K14" s="184"/>
      <c r="L14" s="184"/>
      <c r="M14" s="184"/>
      <c r="N14" s="184"/>
      <c r="O14" s="196"/>
      <c r="P14" s="916"/>
      <c r="Q14" s="921"/>
      <c r="R14" s="53"/>
    </row>
    <row r="15" spans="1:19" s="732" customFormat="1" ht="12.75" customHeight="1" thickBot="1">
      <c r="A15" s="693"/>
      <c r="B15" s="697" t="s">
        <v>1783</v>
      </c>
      <c r="C15" s="696"/>
      <c r="D15" s="696"/>
      <c r="E15" s="697"/>
      <c r="F15" s="698">
        <f>SUM(F13:F14)</f>
        <v>19480</v>
      </c>
      <c r="G15" s="698">
        <f>SUM(G13:G13)</f>
        <v>1705</v>
      </c>
      <c r="H15" s="703">
        <f>SUM(H13:H13)</f>
        <v>5000</v>
      </c>
      <c r="I15" s="696" t="s">
        <v>318</v>
      </c>
      <c r="J15" s="696" t="s">
        <v>318</v>
      </c>
      <c r="K15" s="697" t="s">
        <v>318</v>
      </c>
      <c r="L15" s="697">
        <f>SUM(L13:L13)</f>
        <v>8000</v>
      </c>
      <c r="M15" s="697">
        <f>SUM(M13:M13)</f>
        <v>0</v>
      </c>
      <c r="N15" s="697">
        <f>SUM(N13:N13)</f>
        <v>0</v>
      </c>
      <c r="O15" s="703">
        <f>SUM(O13:O13)</f>
        <v>34185</v>
      </c>
      <c r="P15" s="915"/>
      <c r="Q15" s="922"/>
      <c r="R15" s="53">
        <f>SUM(F15:N15)</f>
        <v>34185</v>
      </c>
      <c r="S15" s="732" t="s">
        <v>318</v>
      </c>
    </row>
    <row r="16" spans="1:18" ht="12.75" customHeight="1">
      <c r="A16" s="120"/>
      <c r="B16" s="197" t="s">
        <v>139</v>
      </c>
      <c r="C16" s="106"/>
      <c r="D16" s="106"/>
      <c r="E16" s="121"/>
      <c r="F16" s="127"/>
      <c r="G16" s="124"/>
      <c r="H16" s="124"/>
      <c r="I16" s="106"/>
      <c r="J16" s="106"/>
      <c r="K16" s="121"/>
      <c r="L16" s="127"/>
      <c r="M16" s="127"/>
      <c r="N16" s="127"/>
      <c r="O16" s="127"/>
      <c r="P16" s="913"/>
      <c r="R16" s="53">
        <f>SUM(F16:N16)</f>
        <v>0</v>
      </c>
    </row>
    <row r="17" spans="1:18" s="188" customFormat="1" ht="12.75" customHeight="1" thickBot="1">
      <c r="A17" s="194">
        <v>1</v>
      </c>
      <c r="B17" s="195" t="s">
        <v>1194</v>
      </c>
      <c r="C17" s="170">
        <v>28</v>
      </c>
      <c r="D17" s="170">
        <v>3</v>
      </c>
      <c r="E17" s="184">
        <v>170</v>
      </c>
      <c r="F17" s="195">
        <f>C17*D17*E17</f>
        <v>14280</v>
      </c>
      <c r="G17" s="196">
        <f>F17*0.228</f>
        <v>3256</v>
      </c>
      <c r="H17" s="196">
        <v>6000</v>
      </c>
      <c r="I17" s="170"/>
      <c r="J17" s="170">
        <v>30</v>
      </c>
      <c r="K17" s="184">
        <v>200</v>
      </c>
      <c r="L17" s="195">
        <f>J17*K17</f>
        <v>6000</v>
      </c>
      <c r="M17" s="195"/>
      <c r="N17" s="195">
        <v>0</v>
      </c>
      <c r="O17" s="196">
        <f>F17+L17+M17+N17+G17+H17</f>
        <v>29536</v>
      </c>
      <c r="P17" s="916" t="s">
        <v>1354</v>
      </c>
      <c r="Q17" s="921" t="s">
        <v>1350</v>
      </c>
      <c r="R17" s="53"/>
    </row>
    <row r="18" spans="1:21" s="732" customFormat="1" ht="12.75" customHeight="1" thickBot="1">
      <c r="A18" s="693"/>
      <c r="B18" s="697" t="s">
        <v>1783</v>
      </c>
      <c r="C18" s="696"/>
      <c r="D18" s="696"/>
      <c r="E18" s="697"/>
      <c r="F18" s="703">
        <f>SUM(F16:F17)</f>
        <v>14280</v>
      </c>
      <c r="G18" s="703">
        <f>SUM(G16:G17)</f>
        <v>3256</v>
      </c>
      <c r="H18" s="703">
        <f>SUM(H17:H17)</f>
        <v>6000</v>
      </c>
      <c r="I18" s="746" t="s">
        <v>318</v>
      </c>
      <c r="J18" s="746" t="s">
        <v>318</v>
      </c>
      <c r="K18" s="698" t="s">
        <v>318</v>
      </c>
      <c r="L18" s="698">
        <f>SUM(L16:L17)</f>
        <v>6000</v>
      </c>
      <c r="M18" s="698">
        <f>SUM(M16:M17)</f>
        <v>0</v>
      </c>
      <c r="N18" s="698">
        <f>SUM(N16:N17)</f>
        <v>0</v>
      </c>
      <c r="O18" s="703">
        <f>SUM(O16:O17)</f>
        <v>29536</v>
      </c>
      <c r="P18" s="915"/>
      <c r="Q18" s="922"/>
      <c r="R18" s="53">
        <f>SUM(F18:N18)</f>
        <v>29536</v>
      </c>
      <c r="S18" s="732" t="s">
        <v>318</v>
      </c>
      <c r="U18" s="733"/>
    </row>
    <row r="19" spans="1:18" ht="12.75" customHeight="1">
      <c r="A19" s="120" t="s">
        <v>318</v>
      </c>
      <c r="B19" s="135" t="s">
        <v>140</v>
      </c>
      <c r="C19" s="106"/>
      <c r="D19" s="106"/>
      <c r="E19" s="121"/>
      <c r="F19" s="121"/>
      <c r="G19" s="124"/>
      <c r="H19" s="124"/>
      <c r="I19" s="106"/>
      <c r="J19" s="106"/>
      <c r="K19" s="121"/>
      <c r="L19" s="121"/>
      <c r="M19" s="121"/>
      <c r="N19" s="121"/>
      <c r="O19" s="127"/>
      <c r="P19" s="913"/>
      <c r="Q19" s="921" t="s">
        <v>970</v>
      </c>
      <c r="R19" s="53">
        <f>SUM(F19:N19)</f>
        <v>0</v>
      </c>
    </row>
    <row r="20" spans="1:18" ht="12.75" customHeight="1">
      <c r="A20" s="140">
        <v>1</v>
      </c>
      <c r="B20" s="98" t="s">
        <v>1166</v>
      </c>
      <c r="C20" s="97">
        <v>25</v>
      </c>
      <c r="D20" s="97">
        <v>2</v>
      </c>
      <c r="E20" s="105">
        <v>170</v>
      </c>
      <c r="F20" s="98">
        <f>C20*D20*E20</f>
        <v>8500</v>
      </c>
      <c r="G20" s="143">
        <f>F20*0.228</f>
        <v>1938</v>
      </c>
      <c r="H20" s="143">
        <v>7000</v>
      </c>
      <c r="I20" s="97"/>
      <c r="J20" s="97">
        <v>30</v>
      </c>
      <c r="K20" s="105">
        <v>250</v>
      </c>
      <c r="L20" s="98">
        <f>J20*K20</f>
        <v>7500</v>
      </c>
      <c r="M20" s="98"/>
      <c r="N20" s="98">
        <v>10000</v>
      </c>
      <c r="O20" s="143">
        <f>F20+G20+L20+M20+N20+H20</f>
        <v>34938</v>
      </c>
      <c r="P20" s="917" t="s">
        <v>541</v>
      </c>
      <c r="Q20" s="921" t="s">
        <v>259</v>
      </c>
      <c r="R20" s="53"/>
    </row>
    <row r="21" spans="1:18" ht="12.75" customHeight="1">
      <c r="A21" s="200">
        <v>2</v>
      </c>
      <c r="B21" s="201" t="s">
        <v>853</v>
      </c>
      <c r="C21" s="202">
        <v>35</v>
      </c>
      <c r="D21" s="202">
        <v>3</v>
      </c>
      <c r="E21" s="201">
        <v>170</v>
      </c>
      <c r="F21" s="202">
        <f>C21*D21*E21</f>
        <v>17850</v>
      </c>
      <c r="G21" s="124">
        <f>F21*0.228</f>
        <v>4070</v>
      </c>
      <c r="H21" s="124">
        <v>6000</v>
      </c>
      <c r="I21" s="202"/>
      <c r="J21" s="202">
        <v>50</v>
      </c>
      <c r="K21" s="201">
        <v>250</v>
      </c>
      <c r="L21" s="201">
        <f>J21*K21</f>
        <v>12500</v>
      </c>
      <c r="M21" s="201"/>
      <c r="N21" s="201">
        <v>0</v>
      </c>
      <c r="O21" s="212">
        <f>F21+L21+M21+N21+F23+F24+G21+H21</f>
        <v>50311</v>
      </c>
      <c r="P21" s="914" t="s">
        <v>541</v>
      </c>
      <c r="Q21" s="921" t="s">
        <v>1351</v>
      </c>
      <c r="R21" s="53"/>
    </row>
    <row r="22" spans="1:18" ht="12.75" customHeight="1">
      <c r="A22" s="120" t="s">
        <v>318</v>
      </c>
      <c r="B22" s="121" t="s">
        <v>854</v>
      </c>
      <c r="C22" s="106" t="s">
        <v>318</v>
      </c>
      <c r="D22" s="106" t="s">
        <v>318</v>
      </c>
      <c r="E22" s="121" t="s">
        <v>318</v>
      </c>
      <c r="F22" s="121"/>
      <c r="G22" s="122"/>
      <c r="H22" s="124"/>
      <c r="I22" s="106"/>
      <c r="J22" s="106"/>
      <c r="K22" s="121"/>
      <c r="L22" s="121"/>
      <c r="M22" s="121"/>
      <c r="N22" s="121"/>
      <c r="O22" s="127"/>
      <c r="P22" s="913"/>
      <c r="R22" s="53"/>
    </row>
    <row r="23" spans="1:18" s="188" customFormat="1" ht="12.75" customHeight="1">
      <c r="A23" s="194"/>
      <c r="B23" s="195" t="s">
        <v>1266</v>
      </c>
      <c r="C23" s="170"/>
      <c r="D23" s="170"/>
      <c r="E23" s="184"/>
      <c r="F23" s="195">
        <v>7550</v>
      </c>
      <c r="G23" s="196">
        <v>0</v>
      </c>
      <c r="H23" s="196"/>
      <c r="I23" s="170"/>
      <c r="J23" s="170"/>
      <c r="K23" s="184"/>
      <c r="M23" s="195"/>
      <c r="N23" s="195">
        <v>0</v>
      </c>
      <c r="O23" s="196"/>
      <c r="P23" s="918"/>
      <c r="Q23" s="921" t="s">
        <v>1352</v>
      </c>
      <c r="R23" s="53"/>
    </row>
    <row r="24" spans="1:24" s="188" customFormat="1" ht="12.75" customHeight="1">
      <c r="A24" s="194"/>
      <c r="B24" s="184" t="s">
        <v>531</v>
      </c>
      <c r="C24" s="170"/>
      <c r="D24" s="170"/>
      <c r="E24" s="184"/>
      <c r="F24" s="195">
        <v>2341</v>
      </c>
      <c r="G24" s="196">
        <v>0</v>
      </c>
      <c r="H24" s="196"/>
      <c r="I24" s="170"/>
      <c r="J24" s="170"/>
      <c r="K24" s="184"/>
      <c r="L24" s="667"/>
      <c r="M24" s="184"/>
      <c r="N24" s="184">
        <v>0</v>
      </c>
      <c r="O24" s="195"/>
      <c r="P24" s="913"/>
      <c r="Q24" s="923" t="s">
        <v>153</v>
      </c>
      <c r="R24" s="53"/>
      <c r="S24" s="187"/>
      <c r="T24" s="187"/>
      <c r="U24" s="187"/>
      <c r="V24" s="187"/>
      <c r="W24" s="187"/>
      <c r="X24" s="187"/>
    </row>
    <row r="25" spans="1:24" s="475" customFormat="1" ht="12.75" customHeight="1" thickBot="1">
      <c r="A25" s="465"/>
      <c r="B25" s="469"/>
      <c r="C25" s="470"/>
      <c r="D25" s="470"/>
      <c r="E25" s="471"/>
      <c r="F25" s="472"/>
      <c r="G25" s="473"/>
      <c r="H25" s="817"/>
      <c r="I25" s="470"/>
      <c r="J25" s="470"/>
      <c r="K25" s="471"/>
      <c r="L25" s="472"/>
      <c r="M25" s="469"/>
      <c r="N25" s="469"/>
      <c r="O25" s="469"/>
      <c r="P25" s="913"/>
      <c r="Q25" s="921" t="s">
        <v>1355</v>
      </c>
      <c r="R25" s="53"/>
      <c r="S25" s="474"/>
      <c r="T25" s="474"/>
      <c r="U25" s="474"/>
      <c r="V25" s="474"/>
      <c r="W25" s="474"/>
      <c r="X25" s="474"/>
    </row>
    <row r="26" spans="1:21" s="732" customFormat="1" ht="12.75" customHeight="1" thickBot="1">
      <c r="A26" s="693"/>
      <c r="B26" s="697" t="s">
        <v>1783</v>
      </c>
      <c r="C26" s="696"/>
      <c r="D26" s="696"/>
      <c r="E26" s="697"/>
      <c r="F26" s="697">
        <f>SUM(F20:F25)</f>
        <v>36241</v>
      </c>
      <c r="G26" s="697">
        <f>SUM(G20:G25)</f>
        <v>6008</v>
      </c>
      <c r="H26" s="697">
        <f>SUM(H20:H25)</f>
        <v>13000</v>
      </c>
      <c r="I26" s="696" t="s">
        <v>318</v>
      </c>
      <c r="J26" s="696" t="s">
        <v>318</v>
      </c>
      <c r="K26" s="697" t="s">
        <v>318</v>
      </c>
      <c r="L26" s="697">
        <f>SUM(L20:L24)</f>
        <v>20000</v>
      </c>
      <c r="M26" s="697">
        <f>SUM(M20:M25)</f>
        <v>0</v>
      </c>
      <c r="N26" s="697">
        <f>SUM(N20:N25)</f>
        <v>10000</v>
      </c>
      <c r="O26" s="731">
        <f>SUM(O19:O25)</f>
        <v>85249</v>
      </c>
      <c r="P26" s="919"/>
      <c r="Q26" s="922"/>
      <c r="R26" s="53">
        <f>SUM(F26:N26)</f>
        <v>85249</v>
      </c>
      <c r="S26" s="732" t="s">
        <v>318</v>
      </c>
      <c r="U26" s="702"/>
    </row>
    <row r="27" spans="1:21" s="29" customFormat="1" ht="12.75" customHeight="1" thickBot="1">
      <c r="A27" s="749" t="s">
        <v>318</v>
      </c>
      <c r="B27" s="205" t="s">
        <v>1216</v>
      </c>
      <c r="C27" s="205"/>
      <c r="D27" s="205"/>
      <c r="E27" s="206"/>
      <c r="F27" s="757">
        <f>F8+F11+F15+F18+F26</f>
        <v>98561</v>
      </c>
      <c r="G27" s="757">
        <f>G8+G11+G15+G18+G26</f>
        <v>17528</v>
      </c>
      <c r="H27" s="757">
        <f>H8+H11+H15+H18+H26</f>
        <v>35220</v>
      </c>
      <c r="I27" s="760" t="s">
        <v>318</v>
      </c>
      <c r="J27" s="760" t="s">
        <v>318</v>
      </c>
      <c r="K27" s="760" t="s">
        <v>318</v>
      </c>
      <c r="L27" s="757">
        <f>L8+L11+L15+L18+L26</f>
        <v>42000</v>
      </c>
      <c r="M27" s="757">
        <f>M8+M11+M15+M18+M26</f>
        <v>8000</v>
      </c>
      <c r="N27" s="757">
        <f>N8+N11+N15+N18+N26</f>
        <v>20000</v>
      </c>
      <c r="O27" s="757">
        <f>ROUNDUP(O8+O11+O15+O18+O26,0)</f>
        <v>221309</v>
      </c>
      <c r="P27" s="920"/>
      <c r="Q27" s="924"/>
      <c r="R27" s="53">
        <f>SUM(F27:N27)</f>
        <v>221309</v>
      </c>
      <c r="S27" s="53" t="s">
        <v>318</v>
      </c>
      <c r="T27" s="53" t="s">
        <v>318</v>
      </c>
      <c r="U27" s="53"/>
    </row>
    <row r="29" spans="1:17" s="515" customFormat="1" ht="12.75" customHeight="1">
      <c r="A29" s="515" t="s">
        <v>914</v>
      </c>
      <c r="B29" s="515" t="s">
        <v>1167</v>
      </c>
      <c r="P29" s="908"/>
      <c r="Q29" s="921"/>
    </row>
    <row r="30" spans="16:17" s="515" customFormat="1" ht="12.75" customHeight="1">
      <c r="P30" s="908"/>
      <c r="Q30" s="921"/>
    </row>
    <row r="31" spans="2:17" s="515" customFormat="1" ht="12.75" customHeight="1">
      <c r="B31" s="39"/>
      <c r="P31" s="908"/>
      <c r="Q31" s="921"/>
    </row>
  </sheetData>
  <mergeCells count="6">
    <mergeCell ref="I3:L3"/>
    <mergeCell ref="I4:L4"/>
    <mergeCell ref="A4:A5"/>
    <mergeCell ref="B4:B5"/>
    <mergeCell ref="C4:G4"/>
    <mergeCell ref="C3:H3"/>
  </mergeCells>
  <printOptions/>
  <pageMargins left="0.1968503937007874" right="0.1968503937007874" top="0.984251968503937" bottom="0.3937007874015748" header="0.9055118110236221" footer="0"/>
  <pageSetup firstPageNumber="74" useFirstPageNumber="1" horizontalDpi="120" verticalDpi="120" orientation="landscape" paperSize="9" scale="94" r:id="rId1"/>
  <headerFooter alignWithMargins="0">
    <oddHeader>&amp;C
</oddHeader>
  </headerFooter>
  <colBreaks count="1" manualBreakCount="1">
    <brk id="1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6"/>
  <dimension ref="A1:V69"/>
  <sheetViews>
    <sheetView showGridLines="0" showZeros="0" view="pageBreakPreview" zoomScale="90" zoomScaleSheetLayoutView="90" workbookViewId="0" topLeftCell="A1">
      <pane xSplit="2" ySplit="5" topLeftCell="C4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G56" sqref="G56:H56"/>
    </sheetView>
  </sheetViews>
  <sheetFormatPr defaultColWidth="9.00390625" defaultRowHeight="12.75"/>
  <cols>
    <col min="1" max="1" width="3.375" style="39" customWidth="1"/>
    <col min="2" max="2" width="28.75390625" style="39" customWidth="1"/>
    <col min="3" max="3" width="5.00390625" style="39" customWidth="1"/>
    <col min="4" max="4" width="5.625" style="39" customWidth="1"/>
    <col min="5" max="5" width="6.125" style="39" customWidth="1"/>
    <col min="6" max="6" width="7.00390625" style="39" customWidth="1"/>
    <col min="7" max="7" width="6.125" style="39" customWidth="1"/>
    <col min="8" max="8" width="5.75390625" style="39" customWidth="1"/>
    <col min="9" max="9" width="0.12890625" style="39" customWidth="1"/>
    <col min="10" max="10" width="7.125" style="39" bestFit="1" customWidth="1"/>
    <col min="11" max="11" width="6.375" style="39" customWidth="1"/>
    <col min="12" max="12" width="7.00390625" style="39" customWidth="1"/>
    <col min="13" max="13" width="7.125" style="39" customWidth="1"/>
    <col min="14" max="14" width="8.375" style="39" customWidth="1"/>
    <col min="15" max="15" width="9.875" style="39" customWidth="1"/>
    <col min="16" max="16" width="4.75390625" style="39" hidden="1" customWidth="1"/>
    <col min="17" max="17" width="10.375" style="39" customWidth="1"/>
    <col min="18" max="18" width="11.125" style="925" customWidth="1"/>
    <col min="19" max="20" width="9.125" style="39" customWidth="1"/>
    <col min="21" max="21" width="23.625" style="39" customWidth="1"/>
    <col min="22" max="16384" width="9.125" style="39" customWidth="1"/>
  </cols>
  <sheetData>
    <row r="1" ht="15">
      <c r="B1" s="33" t="s">
        <v>1542</v>
      </c>
    </row>
    <row r="2" spans="2:17" ht="15.75" thickBot="1">
      <c r="B2" s="33"/>
      <c r="Q2" s="207" t="s">
        <v>1083</v>
      </c>
    </row>
    <row r="3" spans="1:17" ht="12" customHeight="1" thickBot="1">
      <c r="A3" s="972"/>
      <c r="B3" s="715"/>
      <c r="C3" s="1906" t="s">
        <v>1034</v>
      </c>
      <c r="D3" s="1907"/>
      <c r="E3" s="1907"/>
      <c r="F3" s="1907"/>
      <c r="G3" s="1907"/>
      <c r="H3" s="1848"/>
      <c r="I3" s="1849" t="s">
        <v>1035</v>
      </c>
      <c r="J3" s="1850"/>
      <c r="K3" s="1850"/>
      <c r="L3" s="1851"/>
      <c r="M3" s="717" t="s">
        <v>1445</v>
      </c>
      <c r="N3" s="717" t="s">
        <v>1446</v>
      </c>
      <c r="O3" s="715"/>
      <c r="P3" s="21"/>
      <c r="Q3" s="971"/>
    </row>
    <row r="4" spans="1:19" s="185" customFormat="1" ht="13.5" customHeight="1" thickBot="1">
      <c r="A4" s="1921" t="s">
        <v>316</v>
      </c>
      <c r="B4" s="1852" t="s">
        <v>317</v>
      </c>
      <c r="C4" s="1841" t="s">
        <v>901</v>
      </c>
      <c r="D4" s="1842"/>
      <c r="E4" s="1842"/>
      <c r="F4" s="1842"/>
      <c r="G4" s="1842"/>
      <c r="H4" s="813" t="s">
        <v>1094</v>
      </c>
      <c r="I4" s="1842" t="s">
        <v>902</v>
      </c>
      <c r="J4" s="1842"/>
      <c r="K4" s="1842"/>
      <c r="L4" s="1843"/>
      <c r="M4" s="714" t="s">
        <v>1399</v>
      </c>
      <c r="N4" s="714" t="s">
        <v>1400</v>
      </c>
      <c r="O4" s="755" t="s">
        <v>265</v>
      </c>
      <c r="P4" s="745"/>
      <c r="Q4" s="806" t="s">
        <v>1415</v>
      </c>
      <c r="R4" s="925"/>
      <c r="S4" s="182"/>
    </row>
    <row r="5" spans="1:19" s="185" customFormat="1" ht="13.5" customHeight="1" thickBot="1">
      <c r="A5" s="1922"/>
      <c r="B5" s="1866"/>
      <c r="C5" s="179" t="s">
        <v>776</v>
      </c>
      <c r="D5" s="180" t="s">
        <v>777</v>
      </c>
      <c r="E5" s="179" t="s">
        <v>69</v>
      </c>
      <c r="F5" s="181" t="s">
        <v>778</v>
      </c>
      <c r="G5" s="271" t="s">
        <v>467</v>
      </c>
      <c r="H5" s="181" t="s">
        <v>1095</v>
      </c>
      <c r="I5" s="177" t="s">
        <v>945</v>
      </c>
      <c r="J5" s="180" t="s">
        <v>320</v>
      </c>
      <c r="K5" s="179" t="s">
        <v>785</v>
      </c>
      <c r="L5" s="180" t="s">
        <v>778</v>
      </c>
      <c r="M5" s="181"/>
      <c r="N5" s="181" t="s">
        <v>781</v>
      </c>
      <c r="O5" s="181" t="s">
        <v>1364</v>
      </c>
      <c r="P5" s="180" t="s">
        <v>70</v>
      </c>
      <c r="Q5" s="967"/>
      <c r="R5" s="926"/>
      <c r="S5" s="182"/>
    </row>
    <row r="6" spans="1:19" ht="12.75">
      <c r="A6" s="725"/>
      <c r="B6" s="325" t="s">
        <v>367</v>
      </c>
      <c r="C6" s="178"/>
      <c r="D6" s="178"/>
      <c r="E6" s="220"/>
      <c r="F6" s="178"/>
      <c r="G6" s="145"/>
      <c r="H6" s="220"/>
      <c r="I6" s="178"/>
      <c r="J6" s="178"/>
      <c r="K6" s="178"/>
      <c r="L6" s="145"/>
      <c r="M6" s="220"/>
      <c r="N6" s="220"/>
      <c r="O6" s="1589"/>
      <c r="P6" s="1590"/>
      <c r="Q6" s="1591"/>
      <c r="S6" s="139"/>
    </row>
    <row r="7" spans="1:19" ht="15.75" customHeight="1">
      <c r="A7" s="1592">
        <v>1</v>
      </c>
      <c r="B7" s="807" t="s">
        <v>1341</v>
      </c>
      <c r="C7" s="21"/>
      <c r="D7" s="21"/>
      <c r="E7" s="1171"/>
      <c r="F7" s="126"/>
      <c r="G7" s="127"/>
      <c r="H7" s="1170">
        <v>1000</v>
      </c>
      <c r="I7" s="21"/>
      <c r="J7" s="21">
        <v>40</v>
      </c>
      <c r="K7" s="21">
        <v>200</v>
      </c>
      <c r="L7" s="127">
        <f>J7*K7</f>
        <v>8000</v>
      </c>
      <c r="M7" s="1170"/>
      <c r="N7" s="1170"/>
      <c r="O7" s="127">
        <f>SUM(F7:H8,L7:M8)</f>
        <v>38424</v>
      </c>
      <c r="P7" s="123"/>
      <c r="Q7" s="1593" t="s">
        <v>541</v>
      </c>
      <c r="S7" s="139"/>
    </row>
    <row r="8" spans="1:19" ht="12.75">
      <c r="A8" s="1594"/>
      <c r="B8" s="1185"/>
      <c r="C8" s="97">
        <v>20</v>
      </c>
      <c r="D8" s="97">
        <v>6</v>
      </c>
      <c r="E8" s="105">
        <v>200</v>
      </c>
      <c r="F8" s="98">
        <f>C8*D8*E8</f>
        <v>24000</v>
      </c>
      <c r="G8" s="98">
        <f>ROUND(F8*0.226,0)</f>
        <v>5424</v>
      </c>
      <c r="H8" s="105"/>
      <c r="I8" s="97"/>
      <c r="J8" s="97"/>
      <c r="K8" s="97"/>
      <c r="L8" s="98"/>
      <c r="M8" s="105"/>
      <c r="N8" s="105"/>
      <c r="O8" s="141"/>
      <c r="P8" s="123"/>
      <c r="Q8" s="144"/>
      <c r="S8" s="139"/>
    </row>
    <row r="9" spans="1:19" s="21" customFormat="1" ht="19.5">
      <c r="A9" s="140">
        <v>2</v>
      </c>
      <c r="B9" s="1100" t="s">
        <v>1659</v>
      </c>
      <c r="C9" s="97">
        <v>0</v>
      </c>
      <c r="D9" s="97">
        <v>0</v>
      </c>
      <c r="E9" s="105">
        <v>0</v>
      </c>
      <c r="F9" s="97">
        <f>C9*D9*E9</f>
        <v>0</v>
      </c>
      <c r="G9" s="98">
        <f>ROUND(F9*0.226,0)</f>
        <v>0</v>
      </c>
      <c r="H9" s="105">
        <v>3500</v>
      </c>
      <c r="I9" s="97"/>
      <c r="J9" s="97">
        <v>15</v>
      </c>
      <c r="K9" s="105">
        <v>250</v>
      </c>
      <c r="L9" s="98">
        <f>J9*K9</f>
        <v>3750</v>
      </c>
      <c r="M9" s="98"/>
      <c r="N9" s="98">
        <v>1000</v>
      </c>
      <c r="O9" s="143">
        <f>F9+L9+M9+N9+G9+H9</f>
        <v>8250</v>
      </c>
      <c r="P9" s="142"/>
      <c r="Q9" s="1176" t="s">
        <v>541</v>
      </c>
      <c r="R9" s="926" t="s">
        <v>1093</v>
      </c>
      <c r="S9" s="106"/>
    </row>
    <row r="10" spans="1:19" ht="24.75" customHeight="1">
      <c r="A10" s="140">
        <v>3</v>
      </c>
      <c r="B10" s="1595" t="s">
        <v>1844</v>
      </c>
      <c r="C10" s="106">
        <v>16</v>
      </c>
      <c r="D10" s="106">
        <v>2</v>
      </c>
      <c r="E10" s="121">
        <v>200</v>
      </c>
      <c r="F10" s="96">
        <f>C10*D10*E10</f>
        <v>6400</v>
      </c>
      <c r="G10" s="96">
        <f>ROUND(F10*0.226,0)</f>
        <v>1446</v>
      </c>
      <c r="H10" s="121"/>
      <c r="I10" s="106"/>
      <c r="J10" s="106">
        <v>40</v>
      </c>
      <c r="K10" s="106">
        <v>200</v>
      </c>
      <c r="L10" s="127">
        <f>J10*K10</f>
        <v>8000</v>
      </c>
      <c r="M10" s="121">
        <v>8000</v>
      </c>
      <c r="N10" s="121"/>
      <c r="O10" s="210">
        <f>F10+L10+M10+N10+G10</f>
        <v>23846</v>
      </c>
      <c r="P10" s="123"/>
      <c r="Q10" s="1596" t="s">
        <v>541</v>
      </c>
      <c r="R10" s="926" t="s">
        <v>628</v>
      </c>
      <c r="S10" s="139"/>
    </row>
    <row r="11" spans="1:18" s="422" customFormat="1" ht="18" customHeight="1">
      <c r="A11" s="1597">
        <v>4</v>
      </c>
      <c r="B11" s="1187" t="s">
        <v>1699</v>
      </c>
      <c r="C11" s="1188">
        <v>0</v>
      </c>
      <c r="D11" s="1188">
        <v>0</v>
      </c>
      <c r="E11" s="1188">
        <v>0</v>
      </c>
      <c r="F11" s="127">
        <f>C11*D11*E11</f>
        <v>0</v>
      </c>
      <c r="G11" s="203">
        <f>ROUND(F11*0.226,0)</f>
        <v>0</v>
      </c>
      <c r="H11" s="377"/>
      <c r="I11" s="1188"/>
      <c r="J11" s="1188">
        <v>30</v>
      </c>
      <c r="K11" s="1188">
        <v>200</v>
      </c>
      <c r="L11" s="127">
        <f>J11*K11</f>
        <v>6000</v>
      </c>
      <c r="M11" s="417">
        <v>0</v>
      </c>
      <c r="N11" s="1189" t="s">
        <v>318</v>
      </c>
      <c r="O11" s="1190">
        <f>SUM(L11:L12,N11)</f>
        <v>11000</v>
      </c>
      <c r="P11" s="1191"/>
      <c r="Q11" s="418" t="s">
        <v>541</v>
      </c>
      <c r="R11" s="927" t="s">
        <v>971</v>
      </c>
    </row>
    <row r="12" spans="1:18" s="422" customFormat="1" ht="14.25" customHeight="1">
      <c r="A12" s="1598"/>
      <c r="B12" s="1185" t="s">
        <v>1845</v>
      </c>
      <c r="C12" s="409"/>
      <c r="D12" s="409"/>
      <c r="E12" s="409"/>
      <c r="F12" s="98"/>
      <c r="G12" s="105"/>
      <c r="H12" s="374"/>
      <c r="I12" s="409"/>
      <c r="J12" s="409"/>
      <c r="K12" s="409"/>
      <c r="L12" s="410">
        <v>5000</v>
      </c>
      <c r="M12" s="374"/>
      <c r="N12" s="1192"/>
      <c r="O12" s="1193"/>
      <c r="P12" s="1194"/>
      <c r="Q12" s="423"/>
      <c r="R12" s="1195" t="s">
        <v>449</v>
      </c>
    </row>
    <row r="13" spans="1:18" s="4" customFormat="1" ht="13.5" thickBot="1">
      <c r="A13" s="1449">
        <v>5</v>
      </c>
      <c r="B13" s="1595" t="s">
        <v>1846</v>
      </c>
      <c r="C13" s="28">
        <v>12</v>
      </c>
      <c r="D13" s="28">
        <v>3</v>
      </c>
      <c r="E13" s="28">
        <v>200</v>
      </c>
      <c r="F13" s="124">
        <f>C13*D13*E13</f>
        <v>7200</v>
      </c>
      <c r="G13" s="96">
        <f>ROUND(F13*0.231,0)</f>
        <v>1663</v>
      </c>
      <c r="H13" s="121"/>
      <c r="I13" s="28"/>
      <c r="J13" s="28">
        <v>12</v>
      </c>
      <c r="K13" s="28">
        <v>250</v>
      </c>
      <c r="L13" s="309">
        <f>J13*K13</f>
        <v>3000</v>
      </c>
      <c r="M13" s="66"/>
      <c r="N13" s="101"/>
      <c r="O13" s="1190">
        <f>SUM(L13,F13:G13)</f>
        <v>11863</v>
      </c>
      <c r="P13" s="1167"/>
      <c r="Q13" s="1599"/>
      <c r="R13" s="927" t="s">
        <v>318</v>
      </c>
    </row>
    <row r="14" spans="1:22" s="37" customFormat="1" ht="12.75" customHeight="1" thickBot="1">
      <c r="A14" s="130"/>
      <c r="B14" s="1196" t="s">
        <v>1783</v>
      </c>
      <c r="C14" s="132"/>
      <c r="D14" s="132"/>
      <c r="E14" s="131"/>
      <c r="F14" s="136">
        <f>SUM(F6:F13)</f>
        <v>37600</v>
      </c>
      <c r="G14" s="136">
        <f>SUM(G6:G13)</f>
        <v>8533</v>
      </c>
      <c r="H14" s="136">
        <f>SUM(H6:H13)</f>
        <v>4500</v>
      </c>
      <c r="I14" s="132"/>
      <c r="J14" s="132"/>
      <c r="K14" s="131"/>
      <c r="L14" s="136">
        <f>SUM(L6:L13)</f>
        <v>33750</v>
      </c>
      <c r="M14" s="136">
        <f>SUM(M6:M13)</f>
        <v>8000</v>
      </c>
      <c r="N14" s="136">
        <f>SUM(N9:N13)</f>
        <v>1000</v>
      </c>
      <c r="O14" s="136">
        <f>SUM(O6:O13)</f>
        <v>93383</v>
      </c>
      <c r="P14" s="193"/>
      <c r="Q14" s="414"/>
      <c r="R14" s="1197" t="s">
        <v>318</v>
      </c>
      <c r="S14" s="1198">
        <f>SUM(F14:N14)</f>
        <v>93383</v>
      </c>
      <c r="T14" s="54" t="s">
        <v>318</v>
      </c>
      <c r="U14" s="37" t="s">
        <v>318</v>
      </c>
      <c r="V14" s="54"/>
    </row>
    <row r="15" spans="1:19" ht="12.75">
      <c r="A15" s="120"/>
      <c r="B15" s="1101" t="s">
        <v>1784</v>
      </c>
      <c r="C15" s="106"/>
      <c r="D15" s="106"/>
      <c r="E15" s="121"/>
      <c r="F15" s="106"/>
      <c r="G15" s="127"/>
      <c r="H15" s="121"/>
      <c r="I15" s="106"/>
      <c r="J15" s="106"/>
      <c r="K15" s="121"/>
      <c r="L15" s="121"/>
      <c r="M15" s="121"/>
      <c r="N15" s="121"/>
      <c r="O15" s="121"/>
      <c r="P15" s="106"/>
      <c r="Q15" s="415"/>
      <c r="S15" s="139"/>
    </row>
    <row r="16" spans="1:17" s="13" customFormat="1" ht="21" customHeight="1">
      <c r="A16" s="231">
        <v>6</v>
      </c>
      <c r="B16" s="232" t="s">
        <v>1556</v>
      </c>
      <c r="C16" s="76">
        <v>10</v>
      </c>
      <c r="D16" s="76">
        <v>3</v>
      </c>
      <c r="E16" s="56">
        <v>150</v>
      </c>
      <c r="F16" s="76">
        <f>C16*D16*E16</f>
        <v>4500</v>
      </c>
      <c r="G16" s="77">
        <f>ROUND(F16*0.228,0)</f>
        <v>1026</v>
      </c>
      <c r="H16" s="86"/>
      <c r="I16" s="76"/>
      <c r="J16" s="76">
        <v>20</v>
      </c>
      <c r="K16" s="56">
        <v>150</v>
      </c>
      <c r="L16" s="56">
        <f>J16*K16</f>
        <v>3000</v>
      </c>
      <c r="M16" s="61"/>
      <c r="N16" s="78"/>
      <c r="O16" s="86">
        <f>F16+L16+M16+N16+G16</f>
        <v>8526</v>
      </c>
      <c r="P16" s="427" t="s">
        <v>541</v>
      </c>
      <c r="Q16" s="1418" t="s">
        <v>318</v>
      </c>
    </row>
    <row r="17" spans="1:19" s="21" customFormat="1" ht="13.5" thickBot="1">
      <c r="A17" s="200">
        <v>1</v>
      </c>
      <c r="B17" s="1595" t="s">
        <v>1847</v>
      </c>
      <c r="C17" s="202">
        <v>16</v>
      </c>
      <c r="D17" s="202">
        <v>2</v>
      </c>
      <c r="E17" s="201">
        <v>200</v>
      </c>
      <c r="F17" s="201">
        <f>C17*D17*E17</f>
        <v>6400</v>
      </c>
      <c r="G17" s="96">
        <f>ROUND(F17*0.226,0)</f>
        <v>1446</v>
      </c>
      <c r="H17" s="96"/>
      <c r="I17" s="202"/>
      <c r="J17" s="202">
        <v>10</v>
      </c>
      <c r="K17" s="201">
        <v>250</v>
      </c>
      <c r="L17" s="201">
        <f>J17*K17</f>
        <v>2500</v>
      </c>
      <c r="M17" s="201"/>
      <c r="N17" s="201"/>
      <c r="O17" s="211">
        <f>F17+L17+M17+N17+G17</f>
        <v>10346</v>
      </c>
      <c r="P17" s="106"/>
      <c r="Q17" s="413"/>
      <c r="R17" s="926"/>
      <c r="S17" s="106"/>
    </row>
    <row r="18" spans="1:22" s="702" customFormat="1" ht="12.75" customHeight="1" thickBot="1">
      <c r="A18" s="693"/>
      <c r="B18" s="694" t="s">
        <v>1783</v>
      </c>
      <c r="C18" s="696"/>
      <c r="D18" s="696"/>
      <c r="E18" s="697"/>
      <c r="F18" s="741">
        <f>SUM(F16:F17)</f>
        <v>10900</v>
      </c>
      <c r="G18" s="741">
        <f>SUM(G16:G17)</f>
        <v>2472</v>
      </c>
      <c r="H18" s="698"/>
      <c r="I18" s="746" t="s">
        <v>318</v>
      </c>
      <c r="J18" s="746" t="s">
        <v>318</v>
      </c>
      <c r="K18" s="698" t="s">
        <v>318</v>
      </c>
      <c r="L18" s="741">
        <f>SUM(L16:L17)</f>
        <v>5500</v>
      </c>
      <c r="M18" s="741">
        <f>SUM(M17:M17)</f>
        <v>0</v>
      </c>
      <c r="N18" s="741">
        <f>SUM(N17:N17)</f>
        <v>0</v>
      </c>
      <c r="O18" s="741">
        <f>SUM(O16:O17)</f>
        <v>18872</v>
      </c>
      <c r="P18" s="762"/>
      <c r="Q18" s="1600"/>
      <c r="R18" s="928" t="s">
        <v>318</v>
      </c>
      <c r="S18" s="811">
        <f>SUM(F18:N18)</f>
        <v>18872</v>
      </c>
      <c r="T18" s="733" t="s">
        <v>318</v>
      </c>
      <c r="V18" s="763"/>
    </row>
    <row r="19" spans="1:19" ht="12.75">
      <c r="A19" s="219" t="s">
        <v>318</v>
      </c>
      <c r="B19" s="325" t="s">
        <v>1441</v>
      </c>
      <c r="C19" s="178"/>
      <c r="D19" s="178"/>
      <c r="E19" s="220"/>
      <c r="F19" s="220"/>
      <c r="G19" s="127"/>
      <c r="H19" s="121"/>
      <c r="I19" s="178"/>
      <c r="J19" s="178"/>
      <c r="K19" s="220"/>
      <c r="L19" s="220"/>
      <c r="M19" s="220"/>
      <c r="N19" s="220"/>
      <c r="O19" s="220"/>
      <c r="P19" s="178"/>
      <c r="Q19" s="1601"/>
      <c r="S19" s="139"/>
    </row>
    <row r="20" spans="1:19" s="188" customFormat="1" ht="13.5" customHeight="1">
      <c r="A20" s="246">
        <v>1</v>
      </c>
      <c r="B20" s="238" t="s">
        <v>1872</v>
      </c>
      <c r="C20" s="239">
        <v>12</v>
      </c>
      <c r="D20" s="239">
        <v>2</v>
      </c>
      <c r="E20" s="237">
        <v>250</v>
      </c>
      <c r="F20" s="240">
        <f>C20*D20*E20</f>
        <v>6000</v>
      </c>
      <c r="G20" s="240">
        <f>ROUND(F20*0.226,0)</f>
        <v>1356</v>
      </c>
      <c r="H20" s="237"/>
      <c r="I20" s="239"/>
      <c r="J20" s="239">
        <v>12</v>
      </c>
      <c r="K20" s="237">
        <v>250</v>
      </c>
      <c r="L20" s="237">
        <f>J20*K20</f>
        <v>3000</v>
      </c>
      <c r="M20" s="237"/>
      <c r="N20" s="240">
        <v>1000</v>
      </c>
      <c r="O20" s="241">
        <f>SUM(F20:G20,L20:N20)</f>
        <v>11356</v>
      </c>
      <c r="P20" s="239"/>
      <c r="Q20" s="1336"/>
      <c r="R20" s="925" t="s">
        <v>1113</v>
      </c>
      <c r="S20" s="338"/>
    </row>
    <row r="21" spans="1:19" ht="12.75">
      <c r="A21" s="140">
        <v>2</v>
      </c>
      <c r="B21" s="98" t="s">
        <v>978</v>
      </c>
      <c r="C21" s="97">
        <v>12</v>
      </c>
      <c r="D21" s="97">
        <v>2</v>
      </c>
      <c r="E21" s="105">
        <v>200</v>
      </c>
      <c r="F21" s="199">
        <f>C21*D21*E21</f>
        <v>4800</v>
      </c>
      <c r="G21" s="98">
        <f>ROUND(F21*0.226,0)</f>
        <v>1085</v>
      </c>
      <c r="H21" s="105"/>
      <c r="I21" s="97"/>
      <c r="J21" s="97">
        <v>42</v>
      </c>
      <c r="K21" s="105">
        <v>150</v>
      </c>
      <c r="L21" s="105">
        <f>J21*K21</f>
        <v>6300</v>
      </c>
      <c r="M21" s="105"/>
      <c r="N21" s="105"/>
      <c r="O21" s="141">
        <f>F21+L21+M21+N21+G21</f>
        <v>12185</v>
      </c>
      <c r="P21" s="106"/>
      <c r="Q21" s="415"/>
      <c r="S21" s="139"/>
    </row>
    <row r="22" spans="1:19" s="21" customFormat="1" ht="15" customHeight="1">
      <c r="A22" s="218">
        <v>3</v>
      </c>
      <c r="B22" s="96" t="s">
        <v>1499</v>
      </c>
      <c r="C22" s="85">
        <v>12</v>
      </c>
      <c r="D22" s="85">
        <v>2</v>
      </c>
      <c r="E22" s="104">
        <v>250</v>
      </c>
      <c r="F22" s="104">
        <f>C22*D22*E22</f>
        <v>6000</v>
      </c>
      <c r="G22" s="240">
        <f>ROUND(F22*0.226,0)</f>
        <v>1356</v>
      </c>
      <c r="H22" s="105"/>
      <c r="I22" s="85"/>
      <c r="J22" s="202">
        <v>12</v>
      </c>
      <c r="K22" s="121">
        <v>250</v>
      </c>
      <c r="L22" s="104">
        <f>J22*K22</f>
        <v>3000</v>
      </c>
      <c r="M22" s="104"/>
      <c r="N22" s="104">
        <v>1000</v>
      </c>
      <c r="O22" s="216">
        <f>SUM(F22:G22,L22:N22)</f>
        <v>11356</v>
      </c>
      <c r="P22" s="1184"/>
      <c r="Q22" s="413" t="s">
        <v>541</v>
      </c>
      <c r="R22" s="925" t="s">
        <v>1113</v>
      </c>
      <c r="S22" s="106"/>
    </row>
    <row r="23" spans="1:18" s="453" customFormat="1" ht="13.5" customHeight="1">
      <c r="A23" s="430">
        <v>4</v>
      </c>
      <c r="B23" s="417" t="s">
        <v>1411</v>
      </c>
      <c r="C23" s="455">
        <v>6</v>
      </c>
      <c r="D23" s="455">
        <v>2</v>
      </c>
      <c r="E23" s="455">
        <v>200</v>
      </c>
      <c r="F23" s="457">
        <f>C23*D23*E23</f>
        <v>2400</v>
      </c>
      <c r="G23" s="79">
        <f>ROUND(F23*0.228,0)</f>
        <v>547</v>
      </c>
      <c r="H23" s="79"/>
      <c r="I23" s="67"/>
      <c r="J23" s="73">
        <v>12</v>
      </c>
      <c r="K23" s="201">
        <v>250</v>
      </c>
      <c r="L23" s="67">
        <f>J23*K23</f>
        <v>3000</v>
      </c>
      <c r="M23" s="457"/>
      <c r="N23" s="459">
        <v>4500</v>
      </c>
      <c r="O23" s="458">
        <f>SUM(F23:G23,L23,N23)</f>
        <v>10447</v>
      </c>
      <c r="P23" s="682"/>
      <c r="Q23" s="1602"/>
      <c r="R23" s="929" t="s">
        <v>1409</v>
      </c>
    </row>
    <row r="24" spans="1:18" s="453" customFormat="1" ht="14.25" customHeight="1">
      <c r="A24" s="166"/>
      <c r="B24" s="309" t="s">
        <v>675</v>
      </c>
      <c r="C24" s="165"/>
      <c r="D24" s="165"/>
      <c r="E24" s="165"/>
      <c r="F24" s="169"/>
      <c r="G24" s="169"/>
      <c r="H24" s="168"/>
      <c r="I24" s="28"/>
      <c r="J24" s="100"/>
      <c r="K24" s="66"/>
      <c r="L24" s="28"/>
      <c r="M24" s="169"/>
      <c r="N24" s="476"/>
      <c r="O24" s="450"/>
      <c r="P24" s="428"/>
      <c r="Q24" s="1602"/>
      <c r="R24" s="929" t="s">
        <v>1410</v>
      </c>
    </row>
    <row r="25" spans="1:18" s="453" customFormat="1" ht="13.5" customHeight="1">
      <c r="A25" s="367"/>
      <c r="B25" s="410" t="s">
        <v>2</v>
      </c>
      <c r="C25" s="352"/>
      <c r="D25" s="352"/>
      <c r="E25" s="352"/>
      <c r="F25" s="354"/>
      <c r="G25" s="354"/>
      <c r="H25" s="353"/>
      <c r="I25" s="69"/>
      <c r="J25" s="70"/>
      <c r="K25" s="58"/>
      <c r="L25" s="69"/>
      <c r="M25" s="354"/>
      <c r="N25" s="464"/>
      <c r="O25" s="355"/>
      <c r="P25" s="426"/>
      <c r="Q25" s="1602"/>
      <c r="R25" s="930"/>
    </row>
    <row r="26" spans="1:19" ht="13.5" thickBot="1">
      <c r="A26" s="120">
        <v>5</v>
      </c>
      <c r="B26" s="127" t="s">
        <v>1873</v>
      </c>
      <c r="C26" s="106"/>
      <c r="D26" s="106"/>
      <c r="E26" s="201"/>
      <c r="F26" s="127"/>
      <c r="G26" s="240"/>
      <c r="H26" s="121"/>
      <c r="I26" s="106"/>
      <c r="J26" s="106">
        <v>30</v>
      </c>
      <c r="K26" s="121">
        <v>200</v>
      </c>
      <c r="L26" s="127">
        <f>J26*K26</f>
        <v>6000</v>
      </c>
      <c r="M26" s="127"/>
      <c r="N26" s="127"/>
      <c r="O26" s="124">
        <f>SUM(F26:G26,L26)</f>
        <v>6000</v>
      </c>
      <c r="P26" s="123"/>
      <c r="Q26" s="413"/>
      <c r="S26" s="139"/>
    </row>
    <row r="27" spans="1:22" s="732" customFormat="1" ht="12.75" customHeight="1" thickBot="1">
      <c r="A27" s="693"/>
      <c r="B27" s="694" t="s">
        <v>1783</v>
      </c>
      <c r="C27" s="696"/>
      <c r="D27" s="696"/>
      <c r="E27" s="697"/>
      <c r="F27" s="731">
        <f>SUM(F20:F26)</f>
        <v>19200</v>
      </c>
      <c r="G27" s="731">
        <f>SUM(G20:G26)</f>
        <v>4344</v>
      </c>
      <c r="H27" s="698"/>
      <c r="I27" s="696" t="s">
        <v>318</v>
      </c>
      <c r="J27" s="696" t="s">
        <v>318</v>
      </c>
      <c r="K27" s="697" t="s">
        <v>318</v>
      </c>
      <c r="L27" s="731">
        <f>SUM(L20:L26)</f>
        <v>21300</v>
      </c>
      <c r="M27" s="731">
        <f>SUM(M20:M26)</f>
        <v>0</v>
      </c>
      <c r="N27" s="731">
        <f>SUM(N20:N26)</f>
        <v>6500</v>
      </c>
      <c r="O27" s="731">
        <f>SUM(O20:O26)</f>
        <v>51344</v>
      </c>
      <c r="P27" s="762"/>
      <c r="Q27" s="1600"/>
      <c r="R27" s="928" t="s">
        <v>318</v>
      </c>
      <c r="S27" s="811">
        <f>SUM(F27:N27)</f>
        <v>51344</v>
      </c>
      <c r="T27" s="733" t="s">
        <v>318</v>
      </c>
      <c r="V27" s="733"/>
    </row>
    <row r="28" spans="1:19" ht="12.75">
      <c r="A28" s="120" t="s">
        <v>318</v>
      </c>
      <c r="B28" s="197" t="s">
        <v>1786</v>
      </c>
      <c r="C28" s="106"/>
      <c r="D28" s="106"/>
      <c r="E28" s="121"/>
      <c r="F28" s="121"/>
      <c r="G28" s="127"/>
      <c r="H28" s="121"/>
      <c r="I28" s="106"/>
      <c r="J28" s="106"/>
      <c r="K28" s="121"/>
      <c r="L28" s="121"/>
      <c r="M28" s="121"/>
      <c r="N28" s="121"/>
      <c r="O28" s="121"/>
      <c r="P28" s="106"/>
      <c r="Q28" s="415"/>
      <c r="S28" s="139"/>
    </row>
    <row r="29" spans="1:19" ht="15.75" customHeight="1">
      <c r="A29" s="120">
        <v>1</v>
      </c>
      <c r="B29" s="127" t="s">
        <v>972</v>
      </c>
      <c r="C29" s="106">
        <v>2</v>
      </c>
      <c r="D29" s="106">
        <v>4</v>
      </c>
      <c r="E29" s="121">
        <v>220</v>
      </c>
      <c r="F29" s="126">
        <f>C29*D29*E29</f>
        <v>1760</v>
      </c>
      <c r="G29" s="127">
        <f>ROUND(F29*0.226,0)</f>
        <v>398</v>
      </c>
      <c r="H29" s="121"/>
      <c r="I29" s="106"/>
      <c r="J29" s="106">
        <v>8</v>
      </c>
      <c r="K29" s="121">
        <v>250</v>
      </c>
      <c r="L29" s="127">
        <f>J29*K29</f>
        <v>2000</v>
      </c>
      <c r="M29" s="121"/>
      <c r="N29" s="121"/>
      <c r="O29" s="127">
        <f>SUM(F29:G30,L29)</f>
        <v>8081</v>
      </c>
      <c r="P29" s="106"/>
      <c r="Q29" s="1593" t="s">
        <v>927</v>
      </c>
      <c r="S29" s="139"/>
    </row>
    <row r="30" spans="1:19" ht="12.75">
      <c r="A30" s="140"/>
      <c r="B30" s="1199"/>
      <c r="C30" s="97">
        <v>8</v>
      </c>
      <c r="D30" s="97">
        <v>2</v>
      </c>
      <c r="E30" s="105">
        <v>200</v>
      </c>
      <c r="F30" s="98">
        <f>C30*D30*E30</f>
        <v>3200</v>
      </c>
      <c r="G30" s="98">
        <f>ROUND(F30*0.226,0)</f>
        <v>723</v>
      </c>
      <c r="H30" s="105"/>
      <c r="I30" s="97"/>
      <c r="J30" s="106"/>
      <c r="K30" s="121">
        <v>0</v>
      </c>
      <c r="L30" s="105"/>
      <c r="M30" s="105"/>
      <c r="N30" s="105"/>
      <c r="O30" s="105"/>
      <c r="P30" s="97"/>
      <c r="Q30" s="1603"/>
      <c r="S30" s="139"/>
    </row>
    <row r="31" spans="1:19" ht="19.5">
      <c r="A31" s="218">
        <v>2</v>
      </c>
      <c r="B31" s="96" t="s">
        <v>973</v>
      </c>
      <c r="C31" s="85">
        <v>6</v>
      </c>
      <c r="D31" s="85">
        <v>1</v>
      </c>
      <c r="E31" s="104">
        <v>170</v>
      </c>
      <c r="F31" s="96">
        <f>C31*D31*E31</f>
        <v>1020</v>
      </c>
      <c r="G31" s="96">
        <f>ROUND(F31*0.226,0)</f>
        <v>231</v>
      </c>
      <c r="H31" s="104"/>
      <c r="I31" s="85"/>
      <c r="J31" s="1559">
        <v>15</v>
      </c>
      <c r="K31" s="104">
        <v>250</v>
      </c>
      <c r="L31" s="96">
        <f>J31*K31</f>
        <v>3750</v>
      </c>
      <c r="M31" s="104"/>
      <c r="N31" s="104">
        <v>1000</v>
      </c>
      <c r="O31" s="216">
        <f>SUM(F31:G31,L31:N31)</f>
        <v>6001</v>
      </c>
      <c r="P31" s="85"/>
      <c r="Q31" s="1919" t="s">
        <v>541</v>
      </c>
      <c r="R31" s="925" t="s">
        <v>974</v>
      </c>
      <c r="S31" s="139"/>
    </row>
    <row r="32" spans="1:19" ht="30" thickBot="1">
      <c r="A32" s="120">
        <v>3</v>
      </c>
      <c r="B32" s="1200" t="s">
        <v>1874</v>
      </c>
      <c r="C32" s="106">
        <v>15</v>
      </c>
      <c r="D32" s="106">
        <v>2</v>
      </c>
      <c r="E32" s="121">
        <v>200</v>
      </c>
      <c r="F32" s="1178">
        <f>C32*D32*E32</f>
        <v>6000</v>
      </c>
      <c r="G32" s="127">
        <f>ROUND(F32*0.226,0)</f>
        <v>1356</v>
      </c>
      <c r="H32" s="121"/>
      <c r="I32" s="106"/>
      <c r="J32" s="106">
        <v>35</v>
      </c>
      <c r="K32" s="121">
        <v>200</v>
      </c>
      <c r="L32" s="127">
        <f>J32*K32</f>
        <v>7000</v>
      </c>
      <c r="M32" s="127"/>
      <c r="N32" s="127">
        <v>1000</v>
      </c>
      <c r="O32" s="124">
        <f>SUM(F32:H32,L32:N32)</f>
        <v>15356</v>
      </c>
      <c r="P32" s="123"/>
      <c r="Q32" s="1920"/>
      <c r="R32" s="925" t="s">
        <v>1113</v>
      </c>
      <c r="S32" s="139"/>
    </row>
    <row r="33" spans="1:22" s="732" customFormat="1" ht="12.75" customHeight="1" thickBot="1">
      <c r="A33" s="693"/>
      <c r="B33" s="694" t="s">
        <v>1783</v>
      </c>
      <c r="C33" s="696"/>
      <c r="D33" s="696"/>
      <c r="E33" s="697"/>
      <c r="F33" s="698">
        <f>SUM(F29:F32)</f>
        <v>11980</v>
      </c>
      <c r="G33" s="698">
        <f>SUM(G29:G32)</f>
        <v>2708</v>
      </c>
      <c r="H33" s="698">
        <f>SUM(H29:H32)</f>
        <v>0</v>
      </c>
      <c r="I33" s="696" t="s">
        <v>318</v>
      </c>
      <c r="J33" s="696" t="s">
        <v>318</v>
      </c>
      <c r="K33" s="697" t="s">
        <v>318</v>
      </c>
      <c r="L33" s="698">
        <f>SUM(L29:L32)</f>
        <v>12750</v>
      </c>
      <c r="M33" s="698">
        <f>SUM(M32:M32)</f>
        <v>0</v>
      </c>
      <c r="N33" s="698">
        <f>SUM(N29:N32)</f>
        <v>2000</v>
      </c>
      <c r="O33" s="698">
        <f>SUM(O29:O32)</f>
        <v>29438</v>
      </c>
      <c r="P33" s="746"/>
      <c r="Q33" s="1600"/>
      <c r="R33" s="931"/>
      <c r="S33" s="811">
        <f>SUM(F33:N33)</f>
        <v>29438</v>
      </c>
      <c r="V33" s="733"/>
    </row>
    <row r="34" spans="1:19" ht="12.75">
      <c r="A34" s="120" t="s">
        <v>318</v>
      </c>
      <c r="B34" s="197" t="s">
        <v>1149</v>
      </c>
      <c r="C34" s="106"/>
      <c r="D34" s="106"/>
      <c r="E34" s="121"/>
      <c r="F34" s="121"/>
      <c r="G34" s="127"/>
      <c r="H34" s="121"/>
      <c r="I34" s="106"/>
      <c r="J34" s="106"/>
      <c r="K34" s="121"/>
      <c r="L34" s="121"/>
      <c r="M34" s="121"/>
      <c r="N34" s="121"/>
      <c r="O34" s="121"/>
      <c r="P34" s="106"/>
      <c r="Q34" s="415"/>
      <c r="S34" s="139"/>
    </row>
    <row r="35" spans="1:19" ht="12.75">
      <c r="A35" s="140">
        <v>1</v>
      </c>
      <c r="B35" s="98" t="s">
        <v>1919</v>
      </c>
      <c r="C35" s="97">
        <v>4</v>
      </c>
      <c r="D35" s="97">
        <v>1</v>
      </c>
      <c r="E35" s="105">
        <v>170</v>
      </c>
      <c r="F35" s="98">
        <f aca="true" t="shared" si="0" ref="F35:F40">C35*D35*E35</f>
        <v>680</v>
      </c>
      <c r="G35" s="98">
        <f>ROUND(F35*0.226,0)</f>
        <v>154</v>
      </c>
      <c r="H35" s="105"/>
      <c r="I35" s="97"/>
      <c r="J35" s="97">
        <v>0</v>
      </c>
      <c r="K35" s="105">
        <v>0</v>
      </c>
      <c r="L35" s="98">
        <f aca="true" t="shared" si="1" ref="L35:L40">J35*K35</f>
        <v>0</v>
      </c>
      <c r="M35" s="105"/>
      <c r="N35" s="98" t="s">
        <v>318</v>
      </c>
      <c r="O35" s="143">
        <f>SUM(F35:G35,L35:M35)</f>
        <v>834</v>
      </c>
      <c r="P35" s="142"/>
      <c r="Q35" s="1917" t="s">
        <v>541</v>
      </c>
      <c r="S35" s="139"/>
    </row>
    <row r="36" spans="1:18" s="4" customFormat="1" ht="12.75">
      <c r="A36" s="228">
        <v>2</v>
      </c>
      <c r="B36" s="417" t="s">
        <v>975</v>
      </c>
      <c r="C36" s="67">
        <v>5</v>
      </c>
      <c r="D36" s="67">
        <v>3</v>
      </c>
      <c r="E36" s="106">
        <v>200</v>
      </c>
      <c r="F36" s="68">
        <f t="shared" si="0"/>
        <v>3000</v>
      </c>
      <c r="G36" s="81">
        <f>ROUND(F36*0.231,0)</f>
        <v>693</v>
      </c>
      <c r="H36" s="81"/>
      <c r="I36" s="67"/>
      <c r="J36" s="67">
        <v>3</v>
      </c>
      <c r="K36" s="67">
        <v>250</v>
      </c>
      <c r="L36" s="68">
        <f t="shared" si="1"/>
        <v>750</v>
      </c>
      <c r="M36" s="67"/>
      <c r="N36" s="88" t="s">
        <v>318</v>
      </c>
      <c r="O36" s="83">
        <f>SUM(F36:G37,L36:N37)</f>
        <v>11457</v>
      </c>
      <c r="P36" s="277"/>
      <c r="Q36" s="1917"/>
      <c r="R36" s="927" t="s">
        <v>318</v>
      </c>
    </row>
    <row r="37" spans="1:18" s="4" customFormat="1" ht="20.25" customHeight="1">
      <c r="A37" s="117"/>
      <c r="B37" s="309" t="s">
        <v>1660</v>
      </c>
      <c r="C37" s="28">
        <v>5</v>
      </c>
      <c r="D37" s="28">
        <v>2</v>
      </c>
      <c r="E37" s="106">
        <v>170</v>
      </c>
      <c r="F37" s="59">
        <f t="shared" si="0"/>
        <v>1700</v>
      </c>
      <c r="G37" s="81">
        <f>ROUND(F37*0.231,0)</f>
        <v>393</v>
      </c>
      <c r="H37" s="81"/>
      <c r="I37" s="28"/>
      <c r="J37" s="28">
        <v>3</v>
      </c>
      <c r="K37" s="28">
        <v>250</v>
      </c>
      <c r="L37" s="59">
        <f t="shared" si="1"/>
        <v>750</v>
      </c>
      <c r="M37" s="28"/>
      <c r="N37" s="87">
        <v>4171</v>
      </c>
      <c r="O37" s="66"/>
      <c r="P37" s="277"/>
      <c r="Q37" s="1917"/>
      <c r="R37" s="927" t="s">
        <v>977</v>
      </c>
    </row>
    <row r="38" spans="1:19" ht="12.75">
      <c r="A38" s="200">
        <v>3</v>
      </c>
      <c r="B38" s="96" t="s">
        <v>1914</v>
      </c>
      <c r="C38" s="85">
        <v>22</v>
      </c>
      <c r="D38" s="85">
        <v>2</v>
      </c>
      <c r="E38" s="104">
        <v>170</v>
      </c>
      <c r="F38" s="216">
        <f t="shared" si="0"/>
        <v>7480</v>
      </c>
      <c r="G38" s="96">
        <f>ROUND(F38*0.231,0)</f>
        <v>1728</v>
      </c>
      <c r="H38" s="104"/>
      <c r="I38" s="85"/>
      <c r="J38" s="85">
        <v>21</v>
      </c>
      <c r="K38" s="76">
        <v>250</v>
      </c>
      <c r="L38" s="96">
        <f t="shared" si="1"/>
        <v>5250</v>
      </c>
      <c r="M38" s="203"/>
      <c r="N38" s="201"/>
      <c r="O38" s="211">
        <f>SUM(F38:G38,L38:N38)</f>
        <v>14458</v>
      </c>
      <c r="P38" s="123"/>
      <c r="Q38" s="1917"/>
      <c r="S38" s="139"/>
    </row>
    <row r="39" spans="1:19" s="21" customFormat="1" ht="23.25" customHeight="1">
      <c r="A39" s="218">
        <v>4</v>
      </c>
      <c r="B39" s="1587" t="s">
        <v>976</v>
      </c>
      <c r="C39" s="85">
        <v>2</v>
      </c>
      <c r="D39" s="85">
        <v>4</v>
      </c>
      <c r="E39" s="104">
        <v>170</v>
      </c>
      <c r="F39" s="104">
        <f t="shared" si="0"/>
        <v>1360</v>
      </c>
      <c r="G39" s="96">
        <f>ROUND(F39*0.231,0)</f>
        <v>314</v>
      </c>
      <c r="H39" s="96">
        <v>3000</v>
      </c>
      <c r="I39" s="85"/>
      <c r="J39" s="85">
        <v>15</v>
      </c>
      <c r="K39" s="76">
        <v>200</v>
      </c>
      <c r="L39" s="96">
        <f t="shared" si="1"/>
        <v>3000</v>
      </c>
      <c r="M39" s="104"/>
      <c r="N39" s="96">
        <v>0</v>
      </c>
      <c r="O39" s="210">
        <f>F39+L39+M39+N39+G39+H39</f>
        <v>7674</v>
      </c>
      <c r="P39" s="123"/>
      <c r="Q39" s="1917"/>
      <c r="R39" s="926"/>
      <c r="S39" s="106"/>
    </row>
    <row r="40" spans="1:19" s="268" customFormat="1" ht="23.25" customHeight="1" thickBot="1">
      <c r="A40" s="249">
        <v>5</v>
      </c>
      <c r="B40" s="252" t="s">
        <v>154</v>
      </c>
      <c r="C40" s="251">
        <v>8</v>
      </c>
      <c r="D40" s="251">
        <v>3</v>
      </c>
      <c r="E40" s="105">
        <v>170</v>
      </c>
      <c r="F40" s="250">
        <f t="shared" si="0"/>
        <v>4080</v>
      </c>
      <c r="G40" s="240">
        <f>ROUND(F40*0.226,0)</f>
        <v>922</v>
      </c>
      <c r="H40" s="184"/>
      <c r="I40" s="251"/>
      <c r="J40" s="251">
        <v>20</v>
      </c>
      <c r="K40" s="67">
        <v>200</v>
      </c>
      <c r="L40" s="264">
        <f t="shared" si="1"/>
        <v>4000</v>
      </c>
      <c r="M40" s="250"/>
      <c r="N40" s="252"/>
      <c r="O40" s="253">
        <f>F40+L40+M40+N40+G40</f>
        <v>9002</v>
      </c>
      <c r="P40" s="277"/>
      <c r="Q40" s="1918"/>
      <c r="R40" s="921"/>
      <c r="S40" s="189"/>
    </row>
    <row r="41" spans="1:22" s="732" customFormat="1" ht="12.75" customHeight="1" thickBot="1">
      <c r="A41" s="693"/>
      <c r="B41" s="694" t="s">
        <v>1783</v>
      </c>
      <c r="C41" s="696"/>
      <c r="D41" s="696"/>
      <c r="E41" s="696"/>
      <c r="F41" s="703">
        <f>SUM(F35:F40)</f>
        <v>18300</v>
      </c>
      <c r="G41" s="703">
        <f>SUM(G35:G40)</f>
        <v>4204</v>
      </c>
      <c r="H41" s="703">
        <f aca="true" t="shared" si="2" ref="H41:N41">SUM(H35:H40)</f>
        <v>3000</v>
      </c>
      <c r="I41" s="703">
        <f t="shared" si="2"/>
        <v>0</v>
      </c>
      <c r="J41" s="703"/>
      <c r="K41" s="703"/>
      <c r="L41" s="1588">
        <f>SUM(L35:L40)</f>
        <v>13750</v>
      </c>
      <c r="M41" s="703">
        <f t="shared" si="2"/>
        <v>0</v>
      </c>
      <c r="N41" s="703">
        <f t="shared" si="2"/>
        <v>4171</v>
      </c>
      <c r="O41" s="703">
        <f>SUM(O35:O40)</f>
        <v>43425</v>
      </c>
      <c r="P41" s="746"/>
      <c r="Q41" s="1600"/>
      <c r="R41" s="928" t="s">
        <v>318</v>
      </c>
      <c r="S41" s="811">
        <f>SUM(F41:N41)</f>
        <v>43425</v>
      </c>
      <c r="T41" s="733" t="s">
        <v>318</v>
      </c>
      <c r="U41" s="733" t="s">
        <v>318</v>
      </c>
      <c r="V41" s="733"/>
    </row>
    <row r="42" spans="1:19" ht="12.75">
      <c r="A42" s="120" t="s">
        <v>318</v>
      </c>
      <c r="B42" s="197" t="s">
        <v>1150</v>
      </c>
      <c r="C42" s="106"/>
      <c r="D42" s="106"/>
      <c r="E42" s="106"/>
      <c r="F42" s="126"/>
      <c r="G42" s="127"/>
      <c r="H42" s="121"/>
      <c r="I42" s="106"/>
      <c r="J42" s="106"/>
      <c r="K42" s="121"/>
      <c r="L42" s="121"/>
      <c r="M42" s="121"/>
      <c r="N42" s="121"/>
      <c r="O42" s="121"/>
      <c r="P42" s="106"/>
      <c r="Q42" s="415"/>
      <c r="R42" s="932" t="s">
        <v>318</v>
      </c>
      <c r="S42" s="139"/>
    </row>
    <row r="43" spans="1:19" ht="12.75">
      <c r="A43" s="120">
        <v>1</v>
      </c>
      <c r="B43" s="807" t="s">
        <v>670</v>
      </c>
      <c r="C43" s="97">
        <v>10</v>
      </c>
      <c r="D43" s="97">
        <v>1</v>
      </c>
      <c r="E43" s="105">
        <v>200</v>
      </c>
      <c r="F43" s="98">
        <f>C43*D43*E43</f>
        <v>2000</v>
      </c>
      <c r="G43" s="98">
        <f>ROUND(F43*0.226,0)</f>
        <v>452</v>
      </c>
      <c r="H43" s="105"/>
      <c r="I43" s="97"/>
      <c r="J43" s="97">
        <v>32</v>
      </c>
      <c r="K43" s="105">
        <v>250</v>
      </c>
      <c r="L43" s="98">
        <f>J43*K43</f>
        <v>8000</v>
      </c>
      <c r="M43" s="98"/>
      <c r="N43" s="98"/>
      <c r="O43" s="143">
        <f>F43+L43+M43+N43+G43</f>
        <v>10452</v>
      </c>
      <c r="P43" s="106"/>
      <c r="Q43" s="415"/>
      <c r="R43" s="932"/>
      <c r="S43" s="139"/>
    </row>
    <row r="44" spans="1:18" s="422" customFormat="1" ht="18" customHeight="1" thickBot="1">
      <c r="A44" s="1606">
        <v>2</v>
      </c>
      <c r="B44" s="417" t="s">
        <v>1915</v>
      </c>
      <c r="C44" s="1188">
        <v>0</v>
      </c>
      <c r="D44" s="1188">
        <v>0</v>
      </c>
      <c r="E44" s="1188">
        <v>0</v>
      </c>
      <c r="F44" s="98">
        <f>C44*D44*E44</f>
        <v>0</v>
      </c>
      <c r="G44" s="96">
        <v>0</v>
      </c>
      <c r="H44" s="377">
        <v>2600</v>
      </c>
      <c r="I44" s="1188"/>
      <c r="J44" s="1188">
        <v>30</v>
      </c>
      <c r="K44" s="1188">
        <v>250</v>
      </c>
      <c r="L44" s="417">
        <f>J44*K44</f>
        <v>7500</v>
      </c>
      <c r="M44" s="377"/>
      <c r="N44" s="1189">
        <v>0</v>
      </c>
      <c r="O44" s="1201">
        <f>H44+L44</f>
        <v>10100</v>
      </c>
      <c r="P44" s="1201"/>
      <c r="Q44" s="1607"/>
      <c r="R44" s="925" t="s">
        <v>1124</v>
      </c>
    </row>
    <row r="45" spans="1:20" s="732" customFormat="1" ht="12.75" customHeight="1" thickBot="1">
      <c r="A45" s="693"/>
      <c r="B45" s="694" t="s">
        <v>1783</v>
      </c>
      <c r="C45" s="696"/>
      <c r="D45" s="696"/>
      <c r="E45" s="696"/>
      <c r="F45" s="98">
        <f>F43+F44</f>
        <v>2000</v>
      </c>
      <c r="G45" s="949">
        <f>G43+G44</f>
        <v>452</v>
      </c>
      <c r="H45" s="697">
        <f>SUM(H44)</f>
        <v>2600</v>
      </c>
      <c r="I45" s="696" t="s">
        <v>318</v>
      </c>
      <c r="J45" s="696" t="s">
        <v>318</v>
      </c>
      <c r="K45" s="697">
        <v>3</v>
      </c>
      <c r="L45" s="700">
        <f>SUM(L43:L44)</f>
        <v>15500</v>
      </c>
      <c r="M45" s="700">
        <f>SUM(M44:M44)</f>
        <v>0</v>
      </c>
      <c r="N45" s="700">
        <f>SUM(N44:N44)</f>
        <v>0</v>
      </c>
      <c r="O45" s="741">
        <f>SUM(O43:O44)</f>
        <v>20552</v>
      </c>
      <c r="P45" s="762"/>
      <c r="Q45" s="1600"/>
      <c r="R45" s="928" t="s">
        <v>318</v>
      </c>
      <c r="S45" s="811">
        <f>SUM(F45:N45)</f>
        <v>20555</v>
      </c>
      <c r="T45" s="733" t="s">
        <v>318</v>
      </c>
    </row>
    <row r="46" spans="1:19" ht="12.75">
      <c r="A46" s="120"/>
      <c r="B46" s="197" t="s">
        <v>1206</v>
      </c>
      <c r="C46" s="106"/>
      <c r="D46" s="106"/>
      <c r="E46" s="121"/>
      <c r="F46" s="145"/>
      <c r="G46" s="145"/>
      <c r="H46" s="121"/>
      <c r="I46" s="106"/>
      <c r="J46" s="106"/>
      <c r="K46" s="121"/>
      <c r="L46" s="127"/>
      <c r="M46" s="127"/>
      <c r="N46" s="127"/>
      <c r="O46" s="127"/>
      <c r="P46" s="106"/>
      <c r="Q46" s="415"/>
      <c r="S46" s="139"/>
    </row>
    <row r="47" spans="1:18" s="4" customFormat="1" ht="24">
      <c r="A47" s="1608">
        <v>1</v>
      </c>
      <c r="B47" s="232" t="s">
        <v>1921</v>
      </c>
      <c r="C47" s="85"/>
      <c r="D47" s="85"/>
      <c r="E47" s="104"/>
      <c r="F47" s="61"/>
      <c r="G47" s="77"/>
      <c r="H47" s="86"/>
      <c r="I47" s="76"/>
      <c r="J47" s="85">
        <v>20</v>
      </c>
      <c r="K47" s="76">
        <v>250</v>
      </c>
      <c r="L47" s="96">
        <f>J47*K47</f>
        <v>5000</v>
      </c>
      <c r="M47" s="56"/>
      <c r="N47" s="1204">
        <v>5000</v>
      </c>
      <c r="O47" s="77">
        <f>SUM(F47:G47,L47:N47)</f>
        <v>10000</v>
      </c>
      <c r="P47" s="423"/>
      <c r="Q47" s="1609"/>
      <c r="R47" s="929" t="s">
        <v>376</v>
      </c>
    </row>
    <row r="48" spans="1:19" ht="13.5" thickBot="1">
      <c r="A48" s="140">
        <v>2</v>
      </c>
      <c r="B48" s="98" t="s">
        <v>144</v>
      </c>
      <c r="C48" s="97">
        <v>4</v>
      </c>
      <c r="D48" s="97">
        <v>5</v>
      </c>
      <c r="E48" s="105">
        <v>200</v>
      </c>
      <c r="F48" s="98">
        <f>C48*D48*E48</f>
        <v>4000</v>
      </c>
      <c r="G48" s="98">
        <f>ROUND(F48*0.226,0)</f>
        <v>904</v>
      </c>
      <c r="H48" s="105"/>
      <c r="I48" s="97"/>
      <c r="J48" s="97">
        <v>8</v>
      </c>
      <c r="K48" s="105">
        <v>250</v>
      </c>
      <c r="L48" s="98">
        <f>J48*K48</f>
        <v>2000</v>
      </c>
      <c r="M48" s="98"/>
      <c r="N48" s="98"/>
      <c r="O48" s="143">
        <f>F48+L48+M48+N48+G48</f>
        <v>6904</v>
      </c>
      <c r="P48" s="142"/>
      <c r="Q48" s="1604" t="s">
        <v>541</v>
      </c>
      <c r="S48" s="139"/>
    </row>
    <row r="49" spans="1:22" s="732" customFormat="1" ht="12.75" customHeight="1" thickBot="1">
      <c r="A49" s="693"/>
      <c r="B49" s="694" t="s">
        <v>1783</v>
      </c>
      <c r="C49" s="696"/>
      <c r="D49" s="696"/>
      <c r="E49" s="697"/>
      <c r="F49" s="698">
        <f>SUM(F47:F48)</f>
        <v>4000</v>
      </c>
      <c r="G49" s="698">
        <f>SUM(G47:G48)</f>
        <v>904</v>
      </c>
      <c r="H49" s="698"/>
      <c r="I49" s="746" t="s">
        <v>318</v>
      </c>
      <c r="J49" s="746" t="s">
        <v>318</v>
      </c>
      <c r="K49" s="698" t="s">
        <v>318</v>
      </c>
      <c r="L49" s="698">
        <f>SUM(L47:L48)</f>
        <v>7000</v>
      </c>
      <c r="M49" s="698">
        <f>SUM(M48:M48)</f>
        <v>0</v>
      </c>
      <c r="N49" s="698">
        <f>SUM(N47:N48)</f>
        <v>5000</v>
      </c>
      <c r="O49" s="1586">
        <f>SUM(O47:O48)</f>
        <v>16904</v>
      </c>
      <c r="P49" s="762"/>
      <c r="Q49" s="1600"/>
      <c r="R49" s="928"/>
      <c r="S49" s="811">
        <f>SUM(F49:N49)</f>
        <v>16904</v>
      </c>
      <c r="T49" s="733" t="s">
        <v>318</v>
      </c>
      <c r="V49" s="733"/>
    </row>
    <row r="50" spans="1:19" ht="12.75">
      <c r="A50" s="120"/>
      <c r="B50" s="197" t="s">
        <v>139</v>
      </c>
      <c r="C50" s="106"/>
      <c r="D50" s="106"/>
      <c r="E50" s="121"/>
      <c r="F50" s="145"/>
      <c r="G50" s="145"/>
      <c r="H50" s="121"/>
      <c r="I50" s="106"/>
      <c r="J50" s="106"/>
      <c r="K50" s="121"/>
      <c r="L50" s="127"/>
      <c r="M50" s="127"/>
      <c r="N50" s="127"/>
      <c r="O50" s="127"/>
      <c r="P50" s="106"/>
      <c r="Q50" s="415"/>
      <c r="S50" s="811">
        <f>SUM(F50:N50)</f>
        <v>0</v>
      </c>
    </row>
    <row r="51" spans="1:19" ht="13.5" thickBot="1">
      <c r="A51" s="120">
        <v>1</v>
      </c>
      <c r="B51" s="127" t="s">
        <v>1419</v>
      </c>
      <c r="C51" s="106">
        <v>6</v>
      </c>
      <c r="D51" s="106">
        <v>4</v>
      </c>
      <c r="E51" s="121">
        <v>200</v>
      </c>
      <c r="F51" s="127">
        <f>C51*D51*E51</f>
        <v>4800</v>
      </c>
      <c r="G51" s="98">
        <f>ROUND(F51*0.226,0)</f>
        <v>1085</v>
      </c>
      <c r="H51" s="121"/>
      <c r="I51" s="106"/>
      <c r="J51" s="106">
        <v>20</v>
      </c>
      <c r="K51" s="121">
        <v>200</v>
      </c>
      <c r="L51" s="121">
        <f>J51*K51</f>
        <v>4000</v>
      </c>
      <c r="M51" s="121"/>
      <c r="N51" s="121">
        <v>500</v>
      </c>
      <c r="O51" s="122">
        <f>F51+L51+M51+N51+G51</f>
        <v>10385</v>
      </c>
      <c r="P51" s="123"/>
      <c r="Q51" s="1605"/>
      <c r="R51" s="925" t="s">
        <v>318</v>
      </c>
      <c r="S51" s="811"/>
    </row>
    <row r="52" spans="1:22" s="732" customFormat="1" ht="12.75" customHeight="1" thickBot="1">
      <c r="A52" s="693"/>
      <c r="B52" s="694" t="s">
        <v>1783</v>
      </c>
      <c r="C52" s="696"/>
      <c r="D52" s="696"/>
      <c r="E52" s="697"/>
      <c r="F52" s="703">
        <f>F51</f>
        <v>4800</v>
      </c>
      <c r="G52" s="703">
        <f>G51</f>
        <v>1085</v>
      </c>
      <c r="H52" s="698"/>
      <c r="I52" s="746" t="s">
        <v>318</v>
      </c>
      <c r="J52" s="746" t="s">
        <v>318</v>
      </c>
      <c r="K52" s="698" t="s">
        <v>318</v>
      </c>
      <c r="L52" s="703">
        <f>L51</f>
        <v>4000</v>
      </c>
      <c r="M52" s="698">
        <f>SUM(M51:M51)</f>
        <v>0</v>
      </c>
      <c r="N52" s="698">
        <f>SUM(N51:N51)</f>
        <v>500</v>
      </c>
      <c r="O52" s="703">
        <f>SUM(O51)</f>
        <v>10385</v>
      </c>
      <c r="P52" s="762"/>
      <c r="Q52" s="1600"/>
      <c r="R52" s="928"/>
      <c r="S52" s="811">
        <f>SUM(F52:N52)</f>
        <v>10385</v>
      </c>
      <c r="T52" s="733" t="s">
        <v>318</v>
      </c>
      <c r="V52" s="733"/>
    </row>
    <row r="53" spans="1:19" ht="12.75">
      <c r="A53" s="120" t="s">
        <v>318</v>
      </c>
      <c r="B53" s="197" t="s">
        <v>140</v>
      </c>
      <c r="C53" s="106"/>
      <c r="D53" s="106"/>
      <c r="E53" s="121"/>
      <c r="F53" s="145"/>
      <c r="G53" s="1584"/>
      <c r="H53" s="1585"/>
      <c r="I53" s="106"/>
      <c r="J53" s="106"/>
      <c r="K53" s="121"/>
      <c r="L53" s="121"/>
      <c r="M53" s="121"/>
      <c r="N53" s="121"/>
      <c r="O53" s="121"/>
      <c r="P53" s="106"/>
      <c r="Q53" s="415"/>
      <c r="S53" s="139"/>
    </row>
    <row r="54" spans="1:19" ht="12.75">
      <c r="A54" s="200">
        <v>1</v>
      </c>
      <c r="B54" s="203" t="s">
        <v>561</v>
      </c>
      <c r="C54" s="202">
        <v>2</v>
      </c>
      <c r="D54" s="202">
        <v>4</v>
      </c>
      <c r="E54" s="202">
        <v>250</v>
      </c>
      <c r="F54" s="203">
        <f>C54*D54*E54</f>
        <v>2000</v>
      </c>
      <c r="G54" s="127">
        <f>ROUND(F54*0.228,0)</f>
        <v>456</v>
      </c>
      <c r="H54" s="121">
        <v>1000</v>
      </c>
      <c r="I54" s="202">
        <v>0</v>
      </c>
      <c r="J54" s="202">
        <v>40</v>
      </c>
      <c r="K54" s="202">
        <v>250</v>
      </c>
      <c r="L54" s="203">
        <f>J54*K54</f>
        <v>10000</v>
      </c>
      <c r="M54" s="202"/>
      <c r="N54" s="203" t="s">
        <v>318</v>
      </c>
      <c r="O54" s="212">
        <f>F54+F55+G54+G55+H54+L54</f>
        <v>23280</v>
      </c>
      <c r="P54" s="123"/>
      <c r="Q54" s="413" t="s">
        <v>541</v>
      </c>
      <c r="R54" s="925" t="s">
        <v>318</v>
      </c>
      <c r="S54" s="139"/>
    </row>
    <row r="55" spans="1:19" ht="11.25" customHeight="1" thickBot="1">
      <c r="A55" s="120"/>
      <c r="B55" s="127" t="s">
        <v>755</v>
      </c>
      <c r="C55" s="106">
        <v>20</v>
      </c>
      <c r="D55" s="106">
        <v>2</v>
      </c>
      <c r="E55" s="106">
        <v>200</v>
      </c>
      <c r="F55" s="126">
        <f>C55*D55*E55</f>
        <v>8000</v>
      </c>
      <c r="G55" s="98">
        <f>ROUND(F55*0.228,0)</f>
        <v>1824</v>
      </c>
      <c r="H55" s="121"/>
      <c r="I55" s="106"/>
      <c r="J55" s="106"/>
      <c r="K55" s="121"/>
      <c r="L55" s="121"/>
      <c r="M55" s="106"/>
      <c r="N55" s="127"/>
      <c r="O55" s="127"/>
      <c r="P55" s="106"/>
      <c r="Q55" s="413" t="s">
        <v>318</v>
      </c>
      <c r="R55" s="925" t="s">
        <v>318</v>
      </c>
      <c r="S55" s="139"/>
    </row>
    <row r="56" spans="1:20" s="732" customFormat="1" ht="12.75" customHeight="1" thickBot="1">
      <c r="A56" s="693"/>
      <c r="B56" s="694" t="s">
        <v>1783</v>
      </c>
      <c r="C56" s="696"/>
      <c r="D56" s="696"/>
      <c r="E56" s="697"/>
      <c r="F56" s="697">
        <f>SUM(F54:F55)</f>
        <v>10000</v>
      </c>
      <c r="G56" s="697">
        <f>SUM(G54:G55)</f>
        <v>2280</v>
      </c>
      <c r="H56" s="697">
        <f>SUM(H54:H55)</f>
        <v>1000</v>
      </c>
      <c r="I56" s="696" t="s">
        <v>318</v>
      </c>
      <c r="J56" s="696" t="s">
        <v>318</v>
      </c>
      <c r="K56" s="697" t="s">
        <v>318</v>
      </c>
      <c r="L56" s="697">
        <f>SUM(L54:L55)</f>
        <v>10000</v>
      </c>
      <c r="M56" s="697">
        <f>SUM(M54:M55)</f>
        <v>0</v>
      </c>
      <c r="N56" s="697">
        <f>SUM(N54:N55)</f>
        <v>0</v>
      </c>
      <c r="O56" s="731">
        <f>SUM(O53:O55)</f>
        <v>23280</v>
      </c>
      <c r="P56" s="748"/>
      <c r="Q56" s="1610"/>
      <c r="R56" s="928"/>
      <c r="S56" s="811">
        <f>SUM(F56:N56)</f>
        <v>23280</v>
      </c>
      <c r="T56" s="733" t="s">
        <v>318</v>
      </c>
    </row>
    <row r="57" spans="1:19" ht="12.75">
      <c r="A57" s="120" t="s">
        <v>318</v>
      </c>
      <c r="B57" s="197" t="s">
        <v>141</v>
      </c>
      <c r="C57" s="106"/>
      <c r="D57" s="106"/>
      <c r="E57" s="121"/>
      <c r="F57" s="121"/>
      <c r="G57" s="127"/>
      <c r="H57" s="121"/>
      <c r="I57" s="106"/>
      <c r="J57" s="106"/>
      <c r="K57" s="121"/>
      <c r="L57" s="121"/>
      <c r="M57" s="121"/>
      <c r="N57" s="121"/>
      <c r="O57" s="121"/>
      <c r="P57" s="106"/>
      <c r="Q57" s="415"/>
      <c r="S57" s="139"/>
    </row>
    <row r="58" spans="1:19" ht="12.75">
      <c r="A58" s="140">
        <v>1</v>
      </c>
      <c r="B58" s="490" t="s">
        <v>1916</v>
      </c>
      <c r="C58" s="97">
        <v>6</v>
      </c>
      <c r="D58" s="97">
        <v>2</v>
      </c>
      <c r="E58" s="105">
        <v>200</v>
      </c>
      <c r="F58" s="98">
        <f aca="true" t="shared" si="3" ref="F58:F63">C58*D58*E58</f>
        <v>2400</v>
      </c>
      <c r="G58" s="98">
        <f aca="true" t="shared" si="4" ref="G58:G63">ROUND(F58*0.226,0)</f>
        <v>542</v>
      </c>
      <c r="H58" s="105"/>
      <c r="I58" s="97"/>
      <c r="J58" s="97">
        <v>20</v>
      </c>
      <c r="K58" s="105">
        <v>250</v>
      </c>
      <c r="L58" s="105">
        <f aca="true" t="shared" si="5" ref="L58:L63">J58*K58</f>
        <v>5000</v>
      </c>
      <c r="M58" s="105"/>
      <c r="N58" s="105">
        <v>0</v>
      </c>
      <c r="O58" s="141">
        <f>F58+G58+L58</f>
        <v>7942</v>
      </c>
      <c r="P58" s="123"/>
      <c r="Q58" s="1611" t="s">
        <v>541</v>
      </c>
      <c r="R58" s="925" t="s">
        <v>318</v>
      </c>
      <c r="S58" s="139"/>
    </row>
    <row r="59" spans="1:19" ht="12.75">
      <c r="A59" s="140">
        <v>2</v>
      </c>
      <c r="B59" s="98" t="s">
        <v>1920</v>
      </c>
      <c r="C59" s="97">
        <v>8</v>
      </c>
      <c r="D59" s="97">
        <v>3</v>
      </c>
      <c r="E59" s="105">
        <v>200</v>
      </c>
      <c r="F59" s="105">
        <f t="shared" si="3"/>
        <v>4800</v>
      </c>
      <c r="G59" s="98">
        <f t="shared" si="4"/>
        <v>1085</v>
      </c>
      <c r="H59" s="105"/>
      <c r="I59" s="97"/>
      <c r="J59" s="97">
        <v>10</v>
      </c>
      <c r="K59" s="105">
        <v>250</v>
      </c>
      <c r="L59" s="98">
        <f t="shared" si="5"/>
        <v>2500</v>
      </c>
      <c r="M59" s="98"/>
      <c r="N59" s="98"/>
      <c r="O59" s="143">
        <f>SUM(F59:G59,L59:N59)</f>
        <v>8385</v>
      </c>
      <c r="P59" s="142"/>
      <c r="Q59" s="1612"/>
      <c r="S59" s="139"/>
    </row>
    <row r="60" spans="1:19" ht="12.75">
      <c r="A60" s="140">
        <v>3</v>
      </c>
      <c r="B60" s="96" t="s">
        <v>1917</v>
      </c>
      <c r="C60" s="106">
        <v>6</v>
      </c>
      <c r="D60" s="106">
        <v>1</v>
      </c>
      <c r="E60" s="105">
        <v>200</v>
      </c>
      <c r="F60" s="96">
        <f t="shared" si="3"/>
        <v>1200</v>
      </c>
      <c r="G60" s="96">
        <f t="shared" si="4"/>
        <v>271</v>
      </c>
      <c r="H60" s="104"/>
      <c r="I60" s="85"/>
      <c r="J60" s="85">
        <v>20</v>
      </c>
      <c r="K60" s="105">
        <v>250</v>
      </c>
      <c r="L60" s="104">
        <f t="shared" si="5"/>
        <v>5000</v>
      </c>
      <c r="M60" s="96"/>
      <c r="N60" s="104">
        <v>0</v>
      </c>
      <c r="O60" s="216">
        <f>F60+G60+L60</f>
        <v>6471</v>
      </c>
      <c r="P60" s="106"/>
      <c r="Q60" s="1611"/>
      <c r="S60" s="139"/>
    </row>
    <row r="61" spans="1:19" ht="24.75" customHeight="1">
      <c r="A61" s="1031">
        <v>4</v>
      </c>
      <c r="B61" s="543" t="s">
        <v>1096</v>
      </c>
      <c r="C61" s="454">
        <v>10</v>
      </c>
      <c r="D61" s="454">
        <v>2</v>
      </c>
      <c r="E61" s="105">
        <v>200</v>
      </c>
      <c r="F61" s="542">
        <f t="shared" si="3"/>
        <v>4000</v>
      </c>
      <c r="G61" s="245">
        <f t="shared" si="4"/>
        <v>904</v>
      </c>
      <c r="H61" s="463"/>
      <c r="I61" s="454"/>
      <c r="J61" s="454">
        <v>12</v>
      </c>
      <c r="K61" s="105">
        <v>250</v>
      </c>
      <c r="L61" s="463">
        <f t="shared" si="5"/>
        <v>3000</v>
      </c>
      <c r="M61" s="861">
        <v>0</v>
      </c>
      <c r="N61" s="463"/>
      <c r="O61" s="860">
        <f>SUM(F61:G61,L61:N61)</f>
        <v>7904</v>
      </c>
      <c r="P61" s="123"/>
      <c r="Q61" s="1596" t="s">
        <v>979</v>
      </c>
      <c r="R61" s="925" t="s">
        <v>318</v>
      </c>
      <c r="S61" s="139"/>
    </row>
    <row r="62" spans="1:19" ht="15" customHeight="1">
      <c r="A62" s="140">
        <v>5</v>
      </c>
      <c r="B62" s="127" t="s">
        <v>1739</v>
      </c>
      <c r="C62" s="106">
        <v>8</v>
      </c>
      <c r="D62" s="106">
        <v>4</v>
      </c>
      <c r="E62" s="105">
        <v>200</v>
      </c>
      <c r="F62" s="98">
        <f t="shared" si="3"/>
        <v>6400</v>
      </c>
      <c r="G62" s="98">
        <f t="shared" si="4"/>
        <v>1446</v>
      </c>
      <c r="H62" s="121"/>
      <c r="I62" s="106"/>
      <c r="J62" s="106">
        <v>20</v>
      </c>
      <c r="K62" s="105">
        <v>200</v>
      </c>
      <c r="L62" s="105">
        <f t="shared" si="5"/>
        <v>4000</v>
      </c>
      <c r="M62" s="98"/>
      <c r="N62" s="105"/>
      <c r="O62" s="141">
        <f>F62+G62+L62+M62+N62</f>
        <v>11846</v>
      </c>
      <c r="P62" s="106"/>
      <c r="Q62" s="415"/>
      <c r="S62" s="139"/>
    </row>
    <row r="63" spans="1:19" s="268" customFormat="1" ht="16.5" customHeight="1" thickBot="1">
      <c r="A63" s="1613">
        <v>6</v>
      </c>
      <c r="B63" s="449" t="s">
        <v>1918</v>
      </c>
      <c r="C63" s="1391">
        <v>15</v>
      </c>
      <c r="D63" s="1391">
        <v>1</v>
      </c>
      <c r="E63" s="1614">
        <v>200</v>
      </c>
      <c r="F63" s="449">
        <f t="shared" si="3"/>
        <v>3000</v>
      </c>
      <c r="G63" s="1178">
        <f t="shared" si="4"/>
        <v>678</v>
      </c>
      <c r="H63" s="1392">
        <v>1000</v>
      </c>
      <c r="I63" s="1391"/>
      <c r="J63" s="1391">
        <v>10</v>
      </c>
      <c r="K63" s="1614">
        <v>250</v>
      </c>
      <c r="L63" s="1392">
        <f t="shared" si="5"/>
        <v>2500</v>
      </c>
      <c r="M63" s="1392"/>
      <c r="N63" s="1392">
        <v>2500</v>
      </c>
      <c r="O63" s="1615">
        <f>F63+L63+M63+N63+G63+H63</f>
        <v>9678</v>
      </c>
      <c r="P63" s="1580"/>
      <c r="Q63" s="1616" t="s">
        <v>541</v>
      </c>
      <c r="R63" s="921" t="s">
        <v>980</v>
      </c>
      <c r="S63" s="189"/>
    </row>
    <row r="64" spans="1:22" s="702" customFormat="1" ht="12.75" customHeight="1" thickBot="1">
      <c r="A64" s="694"/>
      <c r="B64" s="697" t="s">
        <v>1783</v>
      </c>
      <c r="C64" s="695"/>
      <c r="D64" s="696"/>
      <c r="E64" s="697"/>
      <c r="F64" s="731">
        <f>SUM(F58:F63)</f>
        <v>21800</v>
      </c>
      <c r="G64" s="731">
        <f>SUM(G58:G63)</f>
        <v>4926</v>
      </c>
      <c r="H64" s="731">
        <f>SUM(H58:H63)</f>
        <v>1000</v>
      </c>
      <c r="I64" s="746" t="s">
        <v>318</v>
      </c>
      <c r="J64" s="746" t="s">
        <v>318</v>
      </c>
      <c r="K64" s="698" t="s">
        <v>318</v>
      </c>
      <c r="L64" s="731">
        <f>SUM(L58:L63)</f>
        <v>22000</v>
      </c>
      <c r="M64" s="731">
        <f>SUM(M58:M63)</f>
        <v>0</v>
      </c>
      <c r="N64" s="731">
        <f>SUM(N58:N63)</f>
        <v>2500</v>
      </c>
      <c r="O64" s="731">
        <f>SUM(O58:O63)</f>
        <v>52226</v>
      </c>
      <c r="P64" s="762"/>
      <c r="Q64" s="698"/>
      <c r="R64" s="933"/>
      <c r="S64" s="811">
        <f>SUM(F64:N64)</f>
        <v>52226</v>
      </c>
      <c r="T64" s="733" t="s">
        <v>318</v>
      </c>
      <c r="V64" s="763"/>
    </row>
    <row r="65" spans="1:19" s="21" customFormat="1" ht="6.75" customHeight="1" thickBo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926"/>
      <c r="S65" s="106"/>
    </row>
    <row r="66" spans="1:22" s="29" customFormat="1" ht="14.25" customHeight="1" thickBot="1">
      <c r="A66" s="749" t="s">
        <v>318</v>
      </c>
      <c r="B66" s="205" t="s">
        <v>1216</v>
      </c>
      <c r="C66" s="205"/>
      <c r="D66" s="205"/>
      <c r="E66" s="206"/>
      <c r="F66" s="734">
        <f>ROUNDUP(F14+F18+F27+F33+F41+F45+F52+F56+F64+F49,0)</f>
        <v>140580</v>
      </c>
      <c r="G66" s="734">
        <f>ROUNDUP(G14+G18+G27+G33+G41+G45+G52+G56+G64+G49,0)</f>
        <v>31908</v>
      </c>
      <c r="H66" s="734">
        <f>ROUNDUP(H14+H18+H27+H33+H41+H45+H52+H56+H64+H49,0)</f>
        <v>12100</v>
      </c>
      <c r="I66" s="751"/>
      <c r="J66" s="750"/>
      <c r="K66" s="735"/>
      <c r="L66" s="734">
        <f>ROUNDUP(L14+L18+L27+L33+L41+L45+L52+L56+L64+L49,0)</f>
        <v>145550</v>
      </c>
      <c r="M66" s="734">
        <f>ROUNDUP(M14+M18+M27+M33+M41+M45+M52+M56+M64+M49,0)</f>
        <v>8000</v>
      </c>
      <c r="N66" s="734">
        <f>ROUNDUP(N14+N18+N27+N33+N41+N45+N52+N56+N64+N49,0)</f>
        <v>21671</v>
      </c>
      <c r="O66" s="734">
        <f>ROUNDUP(O14+O18+O27+O33+O41+O45+O52+O56+O64+O49,0)</f>
        <v>359809</v>
      </c>
      <c r="P66" s="751"/>
      <c r="Q66" s="735"/>
      <c r="R66" s="934"/>
      <c r="S66" s="811">
        <f>SUM(F66:N66)</f>
        <v>359809</v>
      </c>
      <c r="T66" s="53" t="s">
        <v>318</v>
      </c>
      <c r="U66" s="53" t="s">
        <v>318</v>
      </c>
      <c r="V66" s="53"/>
    </row>
    <row r="67" ht="4.5" customHeight="1"/>
    <row r="68" spans="1:2" ht="12.75">
      <c r="A68" s="139" t="s">
        <v>915</v>
      </c>
      <c r="B68" s="139" t="s">
        <v>412</v>
      </c>
    </row>
    <row r="69" ht="11.25" customHeight="1">
      <c r="A69" s="139"/>
    </row>
  </sheetData>
  <mergeCells count="8">
    <mergeCell ref="C3:H3"/>
    <mergeCell ref="A4:A5"/>
    <mergeCell ref="B4:B5"/>
    <mergeCell ref="C4:G4"/>
    <mergeCell ref="Q35:Q40"/>
    <mergeCell ref="Q31:Q32"/>
    <mergeCell ref="I3:L3"/>
    <mergeCell ref="I4:L4"/>
  </mergeCells>
  <printOptions/>
  <pageMargins left="0.3937007874015748" right="0" top="0.7874015748031497" bottom="0" header="0" footer="0"/>
  <pageSetup firstPageNumber="75" useFirstPageNumber="1" horizontalDpi="120" verticalDpi="120" orientation="landscape" paperSize="9" scale="99" r:id="rId1"/>
  <headerFooter alignWithMargins="0">
    <oddHeader>&amp;C
</oddHeader>
  </headerFooter>
  <rowBreaks count="3" manualBreakCount="3">
    <brk id="33" max="255" man="1"/>
    <brk id="56" max="17" man="1"/>
    <brk id="69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A1:U941"/>
  <sheetViews>
    <sheetView showGridLines="0" view="pageBreakPreview" zoomScale="75" zoomScaleNormal="75" zoomScaleSheetLayoutView="75" workbookViewId="0" topLeftCell="A1">
      <pane xSplit="2" ySplit="5" topLeftCell="F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R30" sqref="R30"/>
    </sheetView>
  </sheetViews>
  <sheetFormatPr defaultColWidth="9.00390625" defaultRowHeight="12.75"/>
  <cols>
    <col min="1" max="1" width="3.375" style="4" customWidth="1"/>
    <col min="2" max="2" width="33.375" style="422" customWidth="1"/>
    <col min="3" max="3" width="5.25390625" style="4" customWidth="1"/>
    <col min="4" max="4" width="5.625" style="4" customWidth="1"/>
    <col min="5" max="5" width="6.75390625" style="4" customWidth="1"/>
    <col min="6" max="6" width="8.625" style="4" customWidth="1"/>
    <col min="7" max="7" width="7.625" style="4" customWidth="1"/>
    <col min="8" max="8" width="7.125" style="4" customWidth="1"/>
    <col min="9" max="9" width="7.875" style="4" hidden="1" customWidth="1"/>
    <col min="10" max="10" width="5.00390625" style="4" customWidth="1"/>
    <col min="11" max="11" width="6.25390625" style="4" customWidth="1"/>
    <col min="12" max="12" width="9.125" style="4" customWidth="1"/>
    <col min="13" max="13" width="7.125" style="4" customWidth="1"/>
    <col min="14" max="14" width="7.00390625" style="680" customWidth="1"/>
    <col min="15" max="15" width="10.125" style="4" customWidth="1"/>
    <col min="16" max="16" width="10.625" style="422" customWidth="1"/>
    <col min="17" max="17" width="14.125" style="929" customWidth="1"/>
    <col min="18" max="19" width="9.75390625" style="4" customWidth="1"/>
    <col min="20" max="20" width="12.875" style="4" customWidth="1"/>
    <col min="21" max="16384" width="9.125" style="4" customWidth="1"/>
  </cols>
  <sheetData>
    <row r="1" spans="2:15" ht="15">
      <c r="B1" s="15" t="s">
        <v>105</v>
      </c>
      <c r="C1" s="31"/>
      <c r="D1" s="31"/>
      <c r="E1" s="31"/>
      <c r="F1" s="31"/>
      <c r="G1" s="31"/>
      <c r="H1" s="31"/>
      <c r="I1" s="31"/>
      <c r="J1" s="31"/>
      <c r="K1" s="310"/>
      <c r="L1" s="161"/>
      <c r="M1" s="310"/>
      <c r="N1" s="112"/>
      <c r="O1" s="31"/>
    </row>
    <row r="2" spans="2:16" ht="15.75" thickBot="1">
      <c r="B2" s="15"/>
      <c r="C2" s="31"/>
      <c r="D2" s="31"/>
      <c r="E2" s="31"/>
      <c r="F2" s="31"/>
      <c r="G2" s="31"/>
      <c r="H2" s="31"/>
      <c r="I2" s="31"/>
      <c r="J2" s="31"/>
      <c r="K2" s="310"/>
      <c r="L2" s="161"/>
      <c r="M2" s="310"/>
      <c r="N2" s="112"/>
      <c r="O2" s="31"/>
      <c r="P2" s="429" t="s">
        <v>1086</v>
      </c>
    </row>
    <row r="3" spans="1:16" ht="10.5" customHeight="1" thickBot="1">
      <c r="A3" s="744"/>
      <c r="B3" s="685"/>
      <c r="C3" s="1924" t="s">
        <v>1034</v>
      </c>
      <c r="D3" s="1925"/>
      <c r="E3" s="1925"/>
      <c r="F3" s="1925"/>
      <c r="G3" s="1925"/>
      <c r="H3" s="1926"/>
      <c r="I3" s="1924" t="s">
        <v>1035</v>
      </c>
      <c r="J3" s="1925"/>
      <c r="K3" s="1925"/>
      <c r="L3" s="1926"/>
      <c r="M3" s="1404" t="s">
        <v>1445</v>
      </c>
      <c r="N3" s="1405" t="s">
        <v>1446</v>
      </c>
      <c r="O3" s="1406"/>
      <c r="P3" s="1407"/>
    </row>
    <row r="4" spans="1:17" s="3" customFormat="1" ht="13.5" customHeight="1" thickBot="1">
      <c r="A4" s="1927" t="s">
        <v>316</v>
      </c>
      <c r="B4" s="1927" t="s">
        <v>317</v>
      </c>
      <c r="C4" s="1928" t="s">
        <v>901</v>
      </c>
      <c r="D4" s="1929"/>
      <c r="E4" s="1929"/>
      <c r="F4" s="1929"/>
      <c r="G4" s="1929"/>
      <c r="H4" s="1409" t="s">
        <v>156</v>
      </c>
      <c r="I4" s="1929" t="s">
        <v>902</v>
      </c>
      <c r="J4" s="1929"/>
      <c r="K4" s="1929"/>
      <c r="L4" s="1930"/>
      <c r="M4" s="1411" t="s">
        <v>1399</v>
      </c>
      <c r="N4" s="1409" t="s">
        <v>1400</v>
      </c>
      <c r="O4" s="1412" t="s">
        <v>265</v>
      </c>
      <c r="P4" s="1413" t="s">
        <v>1415</v>
      </c>
      <c r="Q4" s="929"/>
    </row>
    <row r="5" spans="1:17" s="3" customFormat="1" ht="13.5" customHeight="1" thickBot="1">
      <c r="A5" s="1866"/>
      <c r="B5" s="1866"/>
      <c r="C5" s="1417" t="s">
        <v>776</v>
      </c>
      <c r="D5" s="1415" t="s">
        <v>777</v>
      </c>
      <c r="E5" s="1417" t="s">
        <v>69</v>
      </c>
      <c r="F5" s="1414" t="s">
        <v>778</v>
      </c>
      <c r="G5" s="1408" t="s">
        <v>467</v>
      </c>
      <c r="H5" s="1414" t="s">
        <v>1095</v>
      </c>
      <c r="I5" s="1410" t="s">
        <v>945</v>
      </c>
      <c r="J5" s="1415" t="s">
        <v>320</v>
      </c>
      <c r="K5" s="1417" t="s">
        <v>785</v>
      </c>
      <c r="L5" s="1415" t="s">
        <v>778</v>
      </c>
      <c r="M5" s="1414"/>
      <c r="N5" s="1414" t="s">
        <v>781</v>
      </c>
      <c r="O5" s="1415" t="s">
        <v>1364</v>
      </c>
      <c r="P5" s="1416"/>
      <c r="Q5" s="929"/>
    </row>
    <row r="6" spans="1:16" ht="15" customHeight="1">
      <c r="A6" s="28"/>
      <c r="B6" s="1366" t="s">
        <v>1784</v>
      </c>
      <c r="C6" s="100"/>
      <c r="D6" s="28"/>
      <c r="E6" s="66"/>
      <c r="F6" s="28"/>
      <c r="G6" s="79"/>
      <c r="H6" s="1167"/>
      <c r="I6" s="28"/>
      <c r="J6" s="100"/>
      <c r="K6" s="66"/>
      <c r="L6" s="28"/>
      <c r="M6" s="59"/>
      <c r="N6" s="101"/>
      <c r="O6" s="59"/>
      <c r="P6" s="416"/>
    </row>
    <row r="7" spans="1:17" s="453" customFormat="1" ht="24" customHeight="1">
      <c r="A7" s="367">
        <v>1</v>
      </c>
      <c r="B7" s="411" t="s">
        <v>111</v>
      </c>
      <c r="C7" s="1209">
        <v>6</v>
      </c>
      <c r="D7" s="352">
        <v>3</v>
      </c>
      <c r="E7" s="353">
        <v>170</v>
      </c>
      <c r="F7" s="352">
        <f>C7*D7*E7</f>
        <v>3060</v>
      </c>
      <c r="G7" s="354">
        <f>ROUND(F7*0.228,0)</f>
        <v>698</v>
      </c>
      <c r="H7" s="353"/>
      <c r="I7" s="352"/>
      <c r="J7" s="1209">
        <v>15</v>
      </c>
      <c r="K7" s="353">
        <v>150</v>
      </c>
      <c r="L7" s="352">
        <f>J7*K7</f>
        <v>2250</v>
      </c>
      <c r="M7" s="354"/>
      <c r="N7" s="669"/>
      <c r="O7" s="355">
        <f>F7+L7+M7+N7+G7</f>
        <v>6008</v>
      </c>
      <c r="P7" s="425" t="s">
        <v>541</v>
      </c>
      <c r="Q7" s="929"/>
    </row>
    <row r="8" spans="1:17" s="453" customFormat="1" ht="27" customHeight="1" thickBot="1">
      <c r="A8" s="166">
        <v>2</v>
      </c>
      <c r="B8" s="309" t="s">
        <v>1330</v>
      </c>
      <c r="C8" s="165">
        <v>12</v>
      </c>
      <c r="D8" s="165">
        <v>2</v>
      </c>
      <c r="E8" s="168">
        <v>150</v>
      </c>
      <c r="F8" s="677">
        <f>C8*D8*E8</f>
        <v>3600</v>
      </c>
      <c r="G8" s="169">
        <f>ROUND(F8*0.228,0)</f>
        <v>821</v>
      </c>
      <c r="H8" s="168"/>
      <c r="I8" s="165"/>
      <c r="J8" s="165">
        <v>20</v>
      </c>
      <c r="K8" s="168">
        <v>150</v>
      </c>
      <c r="L8" s="168">
        <f>J8*K8</f>
        <v>3000</v>
      </c>
      <c r="M8" s="168"/>
      <c r="N8" s="460"/>
      <c r="O8" s="1174">
        <f>F8+L8+M8+N8+G8</f>
        <v>7421</v>
      </c>
      <c r="P8" s="426" t="s">
        <v>357</v>
      </c>
      <c r="Q8" s="929"/>
    </row>
    <row r="9" spans="1:18" s="768" customFormat="1" ht="15" customHeight="1" thickBot="1">
      <c r="A9" s="704"/>
      <c r="B9" s="765" t="s">
        <v>1783</v>
      </c>
      <c r="C9" s="707"/>
      <c r="D9" s="707"/>
      <c r="E9" s="708"/>
      <c r="F9" s="769">
        <f>SUM(F7:F8)</f>
        <v>6660</v>
      </c>
      <c r="G9" s="769">
        <f>SUM(G7:G8)</f>
        <v>1519</v>
      </c>
      <c r="H9" s="769">
        <f>SUM(H7:H8)</f>
        <v>0</v>
      </c>
      <c r="I9" s="769">
        <f>SUM(I7:I8)</f>
        <v>0</v>
      </c>
      <c r="J9" s="769">
        <f>SUM(J7:J8)</f>
        <v>35</v>
      </c>
      <c r="K9" s="769" t="s">
        <v>318</v>
      </c>
      <c r="L9" s="769">
        <f>SUM(L7:L8)</f>
        <v>5250</v>
      </c>
      <c r="M9" s="769">
        <f>SUM(M7:M8)</f>
        <v>0</v>
      </c>
      <c r="N9" s="769">
        <f>SUM(N7:N8)</f>
        <v>0</v>
      </c>
      <c r="O9" s="769">
        <f>SUM(O7:O8)</f>
        <v>13429</v>
      </c>
      <c r="P9" s="767"/>
      <c r="Q9" s="936" t="s">
        <v>318</v>
      </c>
      <c r="R9" s="9">
        <f>SUM(F9:N9)</f>
        <v>13464</v>
      </c>
    </row>
    <row r="10" spans="1:17" s="13" customFormat="1" ht="15" customHeight="1">
      <c r="A10" s="117" t="s">
        <v>318</v>
      </c>
      <c r="B10" s="421" t="s">
        <v>1786</v>
      </c>
      <c r="C10" s="28"/>
      <c r="D10" s="28"/>
      <c r="E10" s="66"/>
      <c r="F10" s="59"/>
      <c r="G10" s="79"/>
      <c r="H10" s="81"/>
      <c r="I10" s="28"/>
      <c r="J10" s="28"/>
      <c r="K10" s="66"/>
      <c r="L10" s="59"/>
      <c r="M10" s="59"/>
      <c r="N10" s="87"/>
      <c r="O10" s="59"/>
      <c r="P10" s="416"/>
      <c r="Q10" s="929"/>
    </row>
    <row r="11" spans="1:17" s="13" customFormat="1" ht="14.25" customHeight="1">
      <c r="A11" s="117">
        <v>1</v>
      </c>
      <c r="B11" s="309" t="s">
        <v>306</v>
      </c>
      <c r="C11" s="28">
        <v>12</v>
      </c>
      <c r="D11" s="28">
        <v>1</v>
      </c>
      <c r="E11" s="66">
        <v>130</v>
      </c>
      <c r="F11" s="59">
        <f>C11*D11*E11</f>
        <v>1560</v>
      </c>
      <c r="G11" s="79">
        <f>ROUND(F11*0.231,0)</f>
        <v>360</v>
      </c>
      <c r="H11" s="81"/>
      <c r="I11" s="28"/>
      <c r="J11" s="28">
        <v>24</v>
      </c>
      <c r="K11" s="66">
        <v>150</v>
      </c>
      <c r="L11" s="66">
        <f>J11*K11</f>
        <v>3600</v>
      </c>
      <c r="M11" s="66"/>
      <c r="N11" s="80">
        <v>1750</v>
      </c>
      <c r="O11" s="81">
        <f>SUM(F11:G12,L11:L12,N11)</f>
        <v>7270</v>
      </c>
      <c r="P11" s="423" t="s">
        <v>541</v>
      </c>
      <c r="Q11" s="935" t="s">
        <v>1253</v>
      </c>
    </row>
    <row r="12" spans="1:17" s="13" customFormat="1" ht="15" customHeight="1">
      <c r="A12" s="117"/>
      <c r="B12" s="309" t="s">
        <v>1652</v>
      </c>
      <c r="C12" s="28"/>
      <c r="D12" s="28"/>
      <c r="E12" s="66"/>
      <c r="F12" s="59"/>
      <c r="G12" s="79"/>
      <c r="H12" s="81"/>
      <c r="I12" s="28"/>
      <c r="J12" s="28"/>
      <c r="K12" s="66"/>
      <c r="L12" s="66">
        <f>J12*K12</f>
        <v>0</v>
      </c>
      <c r="M12" s="59"/>
      <c r="N12" s="87"/>
      <c r="O12" s="79"/>
      <c r="P12" s="423"/>
      <c r="Q12" s="935" t="s">
        <v>661</v>
      </c>
    </row>
    <row r="13" spans="1:17" ht="18" customHeight="1">
      <c r="A13" s="94">
        <v>2</v>
      </c>
      <c r="B13" s="232" t="s">
        <v>1855</v>
      </c>
      <c r="C13" s="93"/>
      <c r="D13" s="93"/>
      <c r="E13" s="114"/>
      <c r="F13" s="114"/>
      <c r="G13" s="77"/>
      <c r="H13" s="86"/>
      <c r="I13" s="93"/>
      <c r="J13" s="93"/>
      <c r="K13" s="114"/>
      <c r="L13" s="114"/>
      <c r="M13" s="114"/>
      <c r="N13" s="451">
        <v>3500</v>
      </c>
      <c r="O13" s="452">
        <f>F13+L13+M13+N13+G13</f>
        <v>3500</v>
      </c>
      <c r="P13" s="1533" t="s">
        <v>494</v>
      </c>
      <c r="Q13" s="929" t="s">
        <v>1254</v>
      </c>
    </row>
    <row r="14" spans="1:17" ht="15" customHeight="1" thickBot="1">
      <c r="A14" s="228">
        <v>3</v>
      </c>
      <c r="B14" s="417" t="s">
        <v>946</v>
      </c>
      <c r="C14" s="67">
        <v>20</v>
      </c>
      <c r="D14" s="67">
        <v>2</v>
      </c>
      <c r="E14" s="57">
        <v>150</v>
      </c>
      <c r="F14" s="57">
        <f>C14*D14*E14</f>
        <v>6000</v>
      </c>
      <c r="G14" s="77">
        <f>ROUND(F14*0.231,0)</f>
        <v>1386</v>
      </c>
      <c r="H14" s="77"/>
      <c r="I14" s="67" t="s">
        <v>318</v>
      </c>
      <c r="J14" s="67">
        <v>20</v>
      </c>
      <c r="K14" s="57">
        <v>150</v>
      </c>
      <c r="L14" s="57">
        <f>J14*K14</f>
        <v>3000</v>
      </c>
      <c r="M14" s="57"/>
      <c r="N14" s="88">
        <v>1500</v>
      </c>
      <c r="O14" s="74">
        <f>F14+L14+M14+N14+G14</f>
        <v>11886</v>
      </c>
      <c r="P14" s="418"/>
      <c r="Q14" s="929" t="s">
        <v>1310</v>
      </c>
    </row>
    <row r="15" spans="1:21" s="770" customFormat="1" ht="15" customHeight="1" thickBot="1">
      <c r="A15" s="704"/>
      <c r="B15" s="765" t="s">
        <v>1783</v>
      </c>
      <c r="C15" s="707"/>
      <c r="D15" s="707"/>
      <c r="E15" s="708"/>
      <c r="F15" s="709">
        <f>SUM(F10:F14)</f>
        <v>7560</v>
      </c>
      <c r="G15" s="709">
        <f>SUM(G10:G14)</f>
        <v>1746</v>
      </c>
      <c r="H15" s="709">
        <f>SUM(H10:H14)</f>
        <v>0</v>
      </c>
      <c r="I15" s="709">
        <f>SUM(I10:I14)</f>
        <v>0</v>
      </c>
      <c r="J15" s="709"/>
      <c r="K15" s="709"/>
      <c r="L15" s="709">
        <f>SUM(L10:L14)</f>
        <v>6600</v>
      </c>
      <c r="M15" s="709">
        <f>SUM(M10:M14)</f>
        <v>0</v>
      </c>
      <c r="N15" s="709">
        <f>SUM(N10:N14)</f>
        <v>6750</v>
      </c>
      <c r="O15" s="709">
        <f>SUM(O11:O14)</f>
        <v>22656</v>
      </c>
      <c r="P15" s="767"/>
      <c r="Q15" s="936" t="s">
        <v>318</v>
      </c>
      <c r="R15" s="9">
        <f>SUM(F15:O15)</f>
        <v>45312</v>
      </c>
      <c r="U15" s="771"/>
    </row>
    <row r="16" spans="1:16" ht="15" customHeight="1">
      <c r="A16" s="117"/>
      <c r="B16" s="421" t="s">
        <v>1205</v>
      </c>
      <c r="C16" s="28"/>
      <c r="D16" s="28"/>
      <c r="E16" s="28"/>
      <c r="F16" s="59"/>
      <c r="G16" s="79"/>
      <c r="H16" s="81"/>
      <c r="I16" s="28"/>
      <c r="J16" s="28"/>
      <c r="K16" s="28"/>
      <c r="L16" s="59"/>
      <c r="M16" s="66"/>
      <c r="N16" s="80"/>
      <c r="O16" s="66"/>
      <c r="P16" s="416"/>
    </row>
    <row r="17" spans="1:17" ht="15" customHeight="1" thickBot="1">
      <c r="A17" s="229">
        <v>1</v>
      </c>
      <c r="B17" s="410" t="s">
        <v>1858</v>
      </c>
      <c r="C17" s="69">
        <v>6</v>
      </c>
      <c r="D17" s="69">
        <v>1</v>
      </c>
      <c r="E17" s="69">
        <v>100</v>
      </c>
      <c r="F17" s="60">
        <f>C17*D17*E17</f>
        <v>600</v>
      </c>
      <c r="G17" s="71">
        <f>ROUND(F17*0.228,0)</f>
        <v>137</v>
      </c>
      <c r="H17" s="84"/>
      <c r="I17" s="69"/>
      <c r="J17" s="69">
        <v>3</v>
      </c>
      <c r="K17" s="69">
        <v>150</v>
      </c>
      <c r="L17" s="60">
        <f>J17*K17</f>
        <v>450</v>
      </c>
      <c r="M17" s="58"/>
      <c r="N17" s="75">
        <v>3200</v>
      </c>
      <c r="O17" s="71">
        <f>F17+L17+M17+N17+G17</f>
        <v>4387</v>
      </c>
      <c r="P17" s="425"/>
      <c r="Q17" s="929" t="s">
        <v>677</v>
      </c>
    </row>
    <row r="18" spans="1:21" s="770" customFormat="1" ht="20.25" customHeight="1" thickBot="1">
      <c r="A18" s="704"/>
      <c r="B18" s="765" t="s">
        <v>1783</v>
      </c>
      <c r="C18" s="707"/>
      <c r="D18" s="707"/>
      <c r="E18" s="708"/>
      <c r="F18" s="766">
        <f>SUM(F17:F17)</f>
        <v>600</v>
      </c>
      <c r="G18" s="766">
        <f>SUM(G17:G17)</f>
        <v>137</v>
      </c>
      <c r="H18" s="766">
        <f>SUM(H17:H17)</f>
        <v>0</v>
      </c>
      <c r="I18" s="766">
        <f>SUM(I17:I17)</f>
        <v>0</v>
      </c>
      <c r="J18" s="766"/>
      <c r="K18" s="766" t="s">
        <v>318</v>
      </c>
      <c r="L18" s="766">
        <f>SUM(L17:L17)</f>
        <v>450</v>
      </c>
      <c r="M18" s="766">
        <f>SUM(M17:M17)</f>
        <v>0</v>
      </c>
      <c r="N18" s="766">
        <f>SUM(N17:N17)</f>
        <v>3200</v>
      </c>
      <c r="O18" s="766">
        <f>SUM(O17:O17)</f>
        <v>4387</v>
      </c>
      <c r="P18" s="767"/>
      <c r="Q18" s="936" t="s">
        <v>318</v>
      </c>
      <c r="R18" s="9">
        <f>SUM(F18:N18)</f>
        <v>4387</v>
      </c>
      <c r="U18" s="771"/>
    </row>
    <row r="19" spans="1:16" ht="15" customHeight="1">
      <c r="A19" s="117"/>
      <c r="B19" s="421" t="s">
        <v>140</v>
      </c>
      <c r="C19" s="28"/>
      <c r="D19" s="28"/>
      <c r="E19" s="28"/>
      <c r="F19" s="858"/>
      <c r="G19" s="859"/>
      <c r="H19" s="81"/>
      <c r="I19" s="28"/>
      <c r="J19" s="28"/>
      <c r="K19" s="66"/>
      <c r="L19" s="66"/>
      <c r="M19" s="66"/>
      <c r="N19" s="679"/>
      <c r="O19" s="683"/>
      <c r="P19" s="416"/>
    </row>
    <row r="20" spans="1:17" s="453" customFormat="1" ht="22.5" customHeight="1" thickBot="1">
      <c r="A20" s="367">
        <v>1</v>
      </c>
      <c r="B20" s="410" t="s">
        <v>1837</v>
      </c>
      <c r="C20" s="352">
        <v>20</v>
      </c>
      <c r="D20" s="352">
        <v>1</v>
      </c>
      <c r="E20" s="353">
        <v>150</v>
      </c>
      <c r="F20" s="354">
        <f>C20*D20*E20</f>
        <v>3000</v>
      </c>
      <c r="G20" s="354">
        <f>ROUND(F20*0.228,0)</f>
        <v>684</v>
      </c>
      <c r="H20" s="353"/>
      <c r="I20" s="352"/>
      <c r="J20" s="352">
        <v>70</v>
      </c>
      <c r="K20" s="353">
        <v>150</v>
      </c>
      <c r="L20" s="354">
        <f>J20*K20</f>
        <v>10500</v>
      </c>
      <c r="M20" s="354"/>
      <c r="N20" s="1617">
        <v>0</v>
      </c>
      <c r="O20" s="450">
        <f>F20+L20+M20+N20+G20+N19+F19+G19</f>
        <v>14184</v>
      </c>
      <c r="P20" s="423"/>
      <c r="Q20" s="929" t="s">
        <v>318</v>
      </c>
    </row>
    <row r="21" spans="1:19" s="770" customFormat="1" ht="12.75" customHeight="1" thickBot="1">
      <c r="A21" s="704"/>
      <c r="B21" s="765" t="s">
        <v>1783</v>
      </c>
      <c r="C21" s="707"/>
      <c r="D21" s="707"/>
      <c r="E21" s="708"/>
      <c r="F21" s="709">
        <f>SUM(F19:F20)</f>
        <v>3000</v>
      </c>
      <c r="G21" s="709">
        <f>SUM(G19:G20)</f>
        <v>684</v>
      </c>
      <c r="H21" s="708">
        <f>SUM(H20:H20)</f>
        <v>0</v>
      </c>
      <c r="I21" s="708">
        <f>SUM(I20:I20)</f>
        <v>0</v>
      </c>
      <c r="J21" s="708"/>
      <c r="K21" s="708" t="s">
        <v>318</v>
      </c>
      <c r="L21" s="708">
        <f>SUM(L20:L20)</f>
        <v>10500</v>
      </c>
      <c r="M21" s="708">
        <f>SUM(M20:M20)</f>
        <v>0</v>
      </c>
      <c r="N21" s="708">
        <f>SUM(N20:N20)</f>
        <v>0</v>
      </c>
      <c r="O21" s="709">
        <f>SUM(O20:O20)</f>
        <v>14184</v>
      </c>
      <c r="P21" s="772"/>
      <c r="Q21" s="936"/>
      <c r="R21" s="9">
        <f>SUM(F21:N21)</f>
        <v>14184</v>
      </c>
      <c r="S21" s="770" t="s">
        <v>318</v>
      </c>
    </row>
    <row r="22" spans="1:16" ht="15" customHeight="1">
      <c r="A22" s="117" t="s">
        <v>318</v>
      </c>
      <c r="B22" s="421" t="s">
        <v>141</v>
      </c>
      <c r="C22" s="28"/>
      <c r="D22" s="28"/>
      <c r="E22" s="66"/>
      <c r="F22" s="66"/>
      <c r="G22" s="79"/>
      <c r="H22" s="81"/>
      <c r="I22" s="28"/>
      <c r="J22" s="28"/>
      <c r="K22" s="66"/>
      <c r="L22" s="66"/>
      <c r="M22" s="66"/>
      <c r="N22" s="80"/>
      <c r="O22" s="66"/>
      <c r="P22" s="416"/>
    </row>
    <row r="23" spans="1:17" ht="15" customHeight="1">
      <c r="A23" s="117">
        <v>1</v>
      </c>
      <c r="B23" s="309" t="s">
        <v>308</v>
      </c>
      <c r="C23" s="106">
        <v>14</v>
      </c>
      <c r="D23" s="106">
        <v>1</v>
      </c>
      <c r="E23" s="66">
        <v>170</v>
      </c>
      <c r="F23" s="59">
        <f>C23*D23*E23</f>
        <v>2380</v>
      </c>
      <c r="G23" s="79">
        <f>ROUND(F23*0.228,0)</f>
        <v>543</v>
      </c>
      <c r="H23" s="1618">
        <v>14000</v>
      </c>
      <c r="I23" s="28"/>
      <c r="J23" s="106"/>
      <c r="K23" s="66"/>
      <c r="L23" s="66">
        <f>J23*K23</f>
        <v>0</v>
      </c>
      <c r="M23" s="66"/>
      <c r="N23" s="101">
        <v>0</v>
      </c>
      <c r="O23" s="79">
        <f>F23+G23+L23+M23+N23+H23</f>
        <v>16923</v>
      </c>
      <c r="P23" s="423"/>
      <c r="Q23" s="935" t="s">
        <v>91</v>
      </c>
    </row>
    <row r="24" spans="1:16" ht="15" customHeight="1">
      <c r="A24" s="229"/>
      <c r="B24" s="410" t="s">
        <v>562</v>
      </c>
      <c r="C24" s="97"/>
      <c r="D24" s="97"/>
      <c r="E24" s="58"/>
      <c r="F24" s="70"/>
      <c r="G24" s="71"/>
      <c r="H24" s="84"/>
      <c r="I24" s="69"/>
      <c r="J24" s="97"/>
      <c r="K24" s="58"/>
      <c r="L24" s="60"/>
      <c r="M24" s="60"/>
      <c r="N24" s="72"/>
      <c r="O24" s="71"/>
      <c r="P24" s="423"/>
    </row>
    <row r="25" spans="1:17" s="453" customFormat="1" ht="15" customHeight="1">
      <c r="A25" s="430">
        <v>2</v>
      </c>
      <c r="B25" s="417" t="s">
        <v>281</v>
      </c>
      <c r="C25" s="455">
        <v>15</v>
      </c>
      <c r="D25" s="455">
        <v>1</v>
      </c>
      <c r="E25" s="456">
        <v>170</v>
      </c>
      <c r="F25" s="676">
        <f>C25*D25*E25</f>
        <v>2550</v>
      </c>
      <c r="G25" s="94">
        <f>ROUND(F25*0.228,0)</f>
        <v>581</v>
      </c>
      <c r="H25" s="456"/>
      <c r="I25" s="455"/>
      <c r="J25" s="455">
        <v>10</v>
      </c>
      <c r="K25" s="456">
        <v>150</v>
      </c>
      <c r="L25" s="456">
        <f>J25*K25</f>
        <v>1500</v>
      </c>
      <c r="M25" s="456">
        <v>9440</v>
      </c>
      <c r="N25" s="461"/>
      <c r="O25" s="462">
        <f>F25+L25+M25+N25+G25</f>
        <v>14071</v>
      </c>
      <c r="P25" s="428"/>
      <c r="Q25" s="929" t="s">
        <v>1256</v>
      </c>
    </row>
    <row r="26" spans="1:17" s="453" customFormat="1" ht="15" customHeight="1">
      <c r="A26" s="430">
        <v>3</v>
      </c>
      <c r="B26" s="417" t="s">
        <v>1298</v>
      </c>
      <c r="C26" s="455">
        <v>2</v>
      </c>
      <c r="D26" s="455">
        <v>3</v>
      </c>
      <c r="E26" s="456">
        <v>150</v>
      </c>
      <c r="F26" s="676">
        <f>C26*D26*E26</f>
        <v>900</v>
      </c>
      <c r="G26" s="457">
        <f>ROUND(F26*0.228,0)</f>
        <v>205</v>
      </c>
      <c r="H26" s="456"/>
      <c r="I26" s="455"/>
      <c r="J26" s="455">
        <v>6</v>
      </c>
      <c r="K26" s="456">
        <v>150</v>
      </c>
      <c r="L26" s="456">
        <f>J26*K26</f>
        <v>900</v>
      </c>
      <c r="M26" s="456"/>
      <c r="N26" s="461"/>
      <c r="O26" s="458">
        <f>SUM(F26:G27,L26:N27)</f>
        <v>2619</v>
      </c>
      <c r="P26" s="1923" t="s">
        <v>927</v>
      </c>
      <c r="Q26" s="929" t="s">
        <v>318</v>
      </c>
    </row>
    <row r="27" spans="1:16" ht="15" customHeight="1" thickBot="1">
      <c r="A27" s="229"/>
      <c r="B27" s="410"/>
      <c r="C27" s="69">
        <v>5</v>
      </c>
      <c r="D27" s="69">
        <v>1</v>
      </c>
      <c r="E27" s="105">
        <v>100</v>
      </c>
      <c r="F27" s="70">
        <f>C27*D27*E27</f>
        <v>500</v>
      </c>
      <c r="G27" s="71">
        <f>ROUND(F27*0.228,0)</f>
        <v>114</v>
      </c>
      <c r="H27" s="84"/>
      <c r="I27" s="69"/>
      <c r="J27" s="69"/>
      <c r="K27" s="58"/>
      <c r="L27" s="58"/>
      <c r="M27" s="58"/>
      <c r="N27" s="75"/>
      <c r="O27" s="60"/>
      <c r="P27" s="1898"/>
    </row>
    <row r="28" spans="1:21" s="713" customFormat="1" ht="15" customHeight="1" thickBot="1">
      <c r="A28" s="704"/>
      <c r="B28" s="765" t="s">
        <v>1783</v>
      </c>
      <c r="C28" s="707"/>
      <c r="D28" s="707"/>
      <c r="E28" s="708"/>
      <c r="F28" s="766">
        <f>SUM(F23:F27)</f>
        <v>6330</v>
      </c>
      <c r="G28" s="766">
        <f>SUM(G23:G27)</f>
        <v>1443</v>
      </c>
      <c r="H28" s="766">
        <f>SUM(H23:H27)</f>
        <v>14000</v>
      </c>
      <c r="I28" s="766">
        <f>SUM(I23:I27)</f>
        <v>0</v>
      </c>
      <c r="J28" s="766"/>
      <c r="K28" s="766" t="s">
        <v>318</v>
      </c>
      <c r="L28" s="766">
        <f>SUM(L23:L27)</f>
        <v>2400</v>
      </c>
      <c r="M28" s="766">
        <f>SUM(M23:M27)</f>
        <v>9440</v>
      </c>
      <c r="N28" s="766">
        <f>SUM(N23:N27)</f>
        <v>0</v>
      </c>
      <c r="O28" s="766">
        <f>SUM(O23:O27)</f>
        <v>33613</v>
      </c>
      <c r="P28" s="767"/>
      <c r="Q28" s="937"/>
      <c r="R28" s="9">
        <f>SUM(F28:N28)</f>
        <v>33613</v>
      </c>
      <c r="S28" s="770" t="s">
        <v>318</v>
      </c>
      <c r="U28" s="773"/>
    </row>
    <row r="29" spans="1:17" s="13" customFormat="1" ht="9" customHeight="1" thickBot="1">
      <c r="A29" s="55"/>
      <c r="B29" s="379"/>
      <c r="C29" s="55"/>
      <c r="D29" s="55"/>
      <c r="E29" s="55"/>
      <c r="F29" s="55"/>
      <c r="G29" s="55"/>
      <c r="H29" s="342"/>
      <c r="I29" s="55"/>
      <c r="J29" s="55"/>
      <c r="K29" s="55"/>
      <c r="L29" s="55"/>
      <c r="M29" s="55"/>
      <c r="N29" s="108"/>
      <c r="O29" s="55"/>
      <c r="P29" s="113"/>
      <c r="Q29" s="935"/>
    </row>
    <row r="30" spans="1:21" s="11" customFormat="1" ht="13.5" customHeight="1" thickBot="1">
      <c r="A30" s="150" t="s">
        <v>318</v>
      </c>
      <c r="B30" s="387" t="s">
        <v>1216</v>
      </c>
      <c r="C30" s="109"/>
      <c r="D30" s="109"/>
      <c r="E30" s="110"/>
      <c r="F30" s="111">
        <f>F9+F15+F18+F21+F28</f>
        <v>24150</v>
      </c>
      <c r="G30" s="111">
        <f aca="true" t="shared" si="0" ref="G30:M30">G9+G15+G18+G21+G28</f>
        <v>5529</v>
      </c>
      <c r="H30" s="111">
        <f t="shared" si="0"/>
        <v>14000</v>
      </c>
      <c r="I30" s="111">
        <f t="shared" si="0"/>
        <v>0</v>
      </c>
      <c r="J30" s="111"/>
      <c r="K30" s="111"/>
      <c r="L30" s="111">
        <f>L9+L15+L18+L21+L28</f>
        <v>25200</v>
      </c>
      <c r="M30" s="111">
        <f t="shared" si="0"/>
        <v>9440</v>
      </c>
      <c r="N30" s="111">
        <f>N9+N15+N18+N21+N28</f>
        <v>9950</v>
      </c>
      <c r="O30" s="1403">
        <f>O9+O15+O18+O21+O28</f>
        <v>88269</v>
      </c>
      <c r="P30" s="176"/>
      <c r="Q30" s="938"/>
      <c r="R30" s="9">
        <f>SUM(F30:N30)</f>
        <v>88269</v>
      </c>
      <c r="S30" s="9" t="s">
        <v>318</v>
      </c>
      <c r="T30" s="9" t="s">
        <v>318</v>
      </c>
      <c r="U30" s="9"/>
    </row>
    <row r="31" spans="1:16" ht="6.75" customHeight="1">
      <c r="A31" s="31"/>
      <c r="B31" s="34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12"/>
      <c r="O31" s="31"/>
      <c r="P31" s="364"/>
    </row>
    <row r="32" s="139" customFormat="1" ht="12">
      <c r="A32" s="139" t="s">
        <v>1025</v>
      </c>
    </row>
    <row r="33" spans="3:16" ht="12.7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12"/>
      <c r="O33" s="31"/>
      <c r="P33" s="364"/>
    </row>
    <row r="34" spans="3:16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12"/>
      <c r="O34" s="31"/>
      <c r="P34" s="364"/>
    </row>
    <row r="35" spans="3:16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12"/>
      <c r="O35" s="31"/>
      <c r="P35" s="364"/>
    </row>
    <row r="36" spans="3:16" ht="12.7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112"/>
      <c r="O36" s="31"/>
      <c r="P36" s="364"/>
    </row>
    <row r="37" spans="3:16" ht="12.7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112"/>
      <c r="O37" s="31"/>
      <c r="P37" s="364"/>
    </row>
    <row r="38" spans="3:16" ht="12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112"/>
      <c r="O38" s="31"/>
      <c r="P38" s="364"/>
    </row>
    <row r="39" spans="3:16" ht="12.7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12"/>
      <c r="O39" s="31"/>
      <c r="P39" s="364"/>
    </row>
    <row r="40" spans="3:16" ht="12.7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112"/>
      <c r="O40" s="31"/>
      <c r="P40" s="364"/>
    </row>
    <row r="41" spans="3:16" ht="12.7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112"/>
      <c r="O41" s="31"/>
      <c r="P41" s="364"/>
    </row>
    <row r="42" spans="3:16" ht="12.7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112"/>
      <c r="O42" s="31"/>
      <c r="P42" s="364"/>
    </row>
    <row r="43" spans="3:16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12"/>
      <c r="O43" s="31"/>
      <c r="P43" s="364"/>
    </row>
    <row r="44" spans="3:16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112"/>
      <c r="O44" s="31"/>
      <c r="P44" s="364"/>
    </row>
    <row r="45" spans="3:16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12"/>
      <c r="O45" s="31"/>
      <c r="P45" s="364"/>
    </row>
    <row r="46" spans="3:16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112"/>
      <c r="O46" s="31"/>
      <c r="P46" s="364"/>
    </row>
    <row r="47" spans="3:16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12"/>
      <c r="O47" s="31"/>
      <c r="P47" s="364"/>
    </row>
    <row r="48" spans="3:16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112"/>
      <c r="O48" s="31"/>
      <c r="P48" s="364"/>
    </row>
    <row r="49" spans="3:16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12"/>
      <c r="O49" s="31"/>
      <c r="P49" s="364"/>
    </row>
    <row r="50" spans="3:16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12"/>
      <c r="O50" s="31"/>
      <c r="P50" s="364"/>
    </row>
    <row r="51" spans="3:16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112"/>
      <c r="O51" s="31"/>
      <c r="P51" s="364"/>
    </row>
    <row r="52" spans="3:16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112"/>
      <c r="O52" s="31"/>
      <c r="P52" s="364"/>
    </row>
    <row r="53" spans="3:16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12"/>
      <c r="O53" s="31"/>
      <c r="P53" s="364"/>
    </row>
    <row r="54" spans="3:16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12"/>
      <c r="O54" s="31"/>
      <c r="P54" s="364"/>
    </row>
    <row r="55" spans="3:16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12"/>
      <c r="O55" s="31"/>
      <c r="P55" s="364"/>
    </row>
    <row r="56" spans="3:16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12"/>
      <c r="O56" s="31"/>
      <c r="P56" s="364"/>
    </row>
    <row r="57" spans="3:16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12"/>
      <c r="O57" s="31"/>
      <c r="P57" s="364"/>
    </row>
    <row r="58" spans="3:16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112"/>
      <c r="O58" s="31"/>
      <c r="P58" s="364"/>
    </row>
    <row r="59" spans="3:16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12"/>
      <c r="O59" s="31"/>
      <c r="P59" s="364"/>
    </row>
    <row r="60" spans="3:16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12"/>
      <c r="O60" s="31"/>
      <c r="P60" s="364"/>
    </row>
    <row r="61" spans="3:16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12"/>
      <c r="O61" s="31"/>
      <c r="P61" s="364"/>
    </row>
    <row r="62" spans="3:16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12"/>
      <c r="O62" s="31"/>
      <c r="P62" s="364"/>
    </row>
    <row r="63" spans="3:16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112"/>
      <c r="O63" s="31"/>
      <c r="P63" s="364"/>
    </row>
    <row r="64" spans="3:16" ht="12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12"/>
      <c r="O64" s="31"/>
      <c r="P64" s="364"/>
    </row>
    <row r="65" spans="3:16" ht="12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112"/>
      <c r="O65" s="31"/>
      <c r="P65" s="364"/>
    </row>
    <row r="66" spans="3:16" ht="12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12"/>
      <c r="O66" s="31"/>
      <c r="P66" s="364"/>
    </row>
    <row r="67" spans="3:16" ht="12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12"/>
      <c r="O67" s="31"/>
      <c r="P67" s="364"/>
    </row>
    <row r="68" spans="3:16" ht="12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112"/>
      <c r="O68" s="31"/>
      <c r="P68" s="364"/>
    </row>
    <row r="69" spans="3:16" ht="12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112"/>
      <c r="O69" s="31"/>
      <c r="P69" s="364"/>
    </row>
    <row r="70" spans="3:16" ht="12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112"/>
      <c r="O70" s="31"/>
      <c r="P70" s="364"/>
    </row>
    <row r="71" spans="3:16" ht="12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112"/>
      <c r="O71" s="31"/>
      <c r="P71" s="364"/>
    </row>
    <row r="72" spans="3:16" ht="12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112"/>
      <c r="O72" s="31"/>
      <c r="P72" s="364"/>
    </row>
    <row r="73" spans="3:16" ht="12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112"/>
      <c r="O73" s="31"/>
      <c r="P73" s="364"/>
    </row>
    <row r="74" spans="3:16" ht="12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112"/>
      <c r="O74" s="31"/>
      <c r="P74" s="364"/>
    </row>
    <row r="75" spans="3:16" ht="12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112"/>
      <c r="O75" s="31"/>
      <c r="P75" s="364"/>
    </row>
    <row r="76" spans="3:16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112"/>
      <c r="O76" s="31"/>
      <c r="P76" s="364"/>
    </row>
    <row r="77" spans="3:16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112"/>
      <c r="O77" s="31"/>
      <c r="P77" s="364"/>
    </row>
    <row r="78" spans="3:16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112"/>
      <c r="O78" s="31"/>
      <c r="P78" s="364"/>
    </row>
    <row r="79" spans="3:16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112"/>
      <c r="O79" s="31"/>
      <c r="P79" s="364"/>
    </row>
    <row r="80" spans="3:16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112"/>
      <c r="O80" s="31"/>
      <c r="P80" s="364"/>
    </row>
    <row r="81" spans="3:16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112"/>
      <c r="O81" s="31"/>
      <c r="P81" s="364"/>
    </row>
    <row r="82" spans="3:16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112"/>
      <c r="O82" s="31"/>
      <c r="P82" s="364"/>
    </row>
    <row r="83" spans="3:16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112"/>
      <c r="O83" s="31"/>
      <c r="P83" s="364"/>
    </row>
    <row r="84" spans="3:16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112"/>
      <c r="O84" s="31"/>
      <c r="P84" s="364"/>
    </row>
    <row r="85" spans="3:16" ht="12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112"/>
      <c r="O85" s="31"/>
      <c r="P85" s="364"/>
    </row>
    <row r="86" spans="3:16" ht="12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112"/>
      <c r="O86" s="31"/>
      <c r="P86" s="364"/>
    </row>
    <row r="87" spans="3:16" ht="12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112"/>
      <c r="O87" s="31"/>
      <c r="P87" s="364"/>
    </row>
    <row r="88" spans="3:16" ht="12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12"/>
      <c r="O88" s="31"/>
      <c r="P88" s="364"/>
    </row>
    <row r="89" spans="3:16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112"/>
      <c r="O89" s="31"/>
      <c r="P89" s="364"/>
    </row>
    <row r="90" spans="3:16" ht="12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112"/>
      <c r="O90" s="31"/>
      <c r="P90" s="364"/>
    </row>
    <row r="91" spans="3:16" ht="12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112"/>
      <c r="O91" s="31"/>
      <c r="P91" s="364"/>
    </row>
    <row r="92" spans="3:16" ht="12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112"/>
      <c r="O92" s="31"/>
      <c r="P92" s="364"/>
    </row>
    <row r="93" spans="3:16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112"/>
      <c r="O93" s="31"/>
      <c r="P93" s="364"/>
    </row>
    <row r="94" spans="3:16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112"/>
      <c r="O94" s="31"/>
      <c r="P94" s="364"/>
    </row>
    <row r="95" spans="3:16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112"/>
      <c r="O95" s="31"/>
      <c r="P95" s="364"/>
    </row>
    <row r="96" spans="3:16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12"/>
      <c r="O96" s="31"/>
      <c r="P96" s="364"/>
    </row>
    <row r="97" spans="3:16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112"/>
      <c r="O97" s="31"/>
      <c r="P97" s="364"/>
    </row>
    <row r="98" spans="3:16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112"/>
      <c r="O98" s="31"/>
      <c r="P98" s="364"/>
    </row>
    <row r="99" spans="3:16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112"/>
      <c r="O99" s="31"/>
      <c r="P99" s="364"/>
    </row>
    <row r="100" spans="3:16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112"/>
      <c r="O100" s="31"/>
      <c r="P100" s="364"/>
    </row>
    <row r="101" spans="3:16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112"/>
      <c r="O101" s="31"/>
      <c r="P101" s="364"/>
    </row>
    <row r="102" spans="3:16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112"/>
      <c r="O102" s="31"/>
      <c r="P102" s="364"/>
    </row>
    <row r="103" spans="3:16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112"/>
      <c r="O103" s="31"/>
      <c r="P103" s="364"/>
    </row>
    <row r="104" spans="3:16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112"/>
      <c r="O104" s="31"/>
      <c r="P104" s="364"/>
    </row>
    <row r="105" spans="3:16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112"/>
      <c r="O105" s="31"/>
      <c r="P105" s="364"/>
    </row>
    <row r="106" ht="12.75">
      <c r="P106" s="364"/>
    </row>
    <row r="107" ht="12.75">
      <c r="P107" s="364"/>
    </row>
    <row r="108" ht="12.75">
      <c r="P108" s="364"/>
    </row>
    <row r="109" ht="12.75">
      <c r="P109" s="364"/>
    </row>
    <row r="110" ht="12.75">
      <c r="P110" s="364"/>
    </row>
    <row r="111" ht="12.75">
      <c r="P111" s="364"/>
    </row>
    <row r="112" ht="12.75">
      <c r="P112" s="364"/>
    </row>
    <row r="113" ht="12.75">
      <c r="P113" s="364"/>
    </row>
    <row r="114" ht="12.75">
      <c r="P114" s="364"/>
    </row>
    <row r="115" ht="12.75">
      <c r="P115" s="364"/>
    </row>
    <row r="116" ht="12.75">
      <c r="P116" s="364"/>
    </row>
    <row r="117" ht="12.75">
      <c r="P117" s="364"/>
    </row>
    <row r="118" ht="12.75">
      <c r="P118" s="364"/>
    </row>
    <row r="119" ht="12.75">
      <c r="P119" s="364"/>
    </row>
    <row r="120" ht="12.75">
      <c r="P120" s="364"/>
    </row>
    <row r="121" ht="12.75">
      <c r="P121" s="364"/>
    </row>
    <row r="122" ht="12.75">
      <c r="P122" s="364"/>
    </row>
    <row r="123" ht="12.75">
      <c r="P123" s="364"/>
    </row>
    <row r="124" ht="12.75">
      <c r="P124" s="364"/>
    </row>
    <row r="125" ht="12.75">
      <c r="P125" s="364"/>
    </row>
    <row r="126" ht="12.75">
      <c r="P126" s="364"/>
    </row>
    <row r="127" ht="12.75">
      <c r="P127" s="364"/>
    </row>
    <row r="128" ht="12.75">
      <c r="P128" s="364"/>
    </row>
    <row r="129" ht="12.75">
      <c r="P129" s="364"/>
    </row>
    <row r="130" ht="12.75">
      <c r="P130" s="364"/>
    </row>
    <row r="131" ht="12.75">
      <c r="P131" s="364"/>
    </row>
    <row r="132" ht="12.75">
      <c r="P132" s="364"/>
    </row>
    <row r="133" ht="12.75">
      <c r="P133" s="364"/>
    </row>
    <row r="134" ht="12.75">
      <c r="P134" s="364"/>
    </row>
    <row r="135" ht="12.75">
      <c r="P135" s="364"/>
    </row>
    <row r="136" ht="12.75">
      <c r="P136" s="364"/>
    </row>
    <row r="137" ht="12.75">
      <c r="P137" s="364"/>
    </row>
    <row r="138" ht="12.75">
      <c r="P138" s="364"/>
    </row>
    <row r="139" ht="12.75">
      <c r="P139" s="364"/>
    </row>
    <row r="140" ht="12.75">
      <c r="P140" s="364"/>
    </row>
    <row r="141" ht="12.75">
      <c r="P141" s="364"/>
    </row>
    <row r="142" ht="12.75">
      <c r="P142" s="364"/>
    </row>
    <row r="143" ht="12.75">
      <c r="P143" s="364"/>
    </row>
    <row r="144" ht="12.75">
      <c r="P144" s="364"/>
    </row>
    <row r="145" ht="12.75">
      <c r="P145" s="364"/>
    </row>
    <row r="146" ht="12.75">
      <c r="P146" s="364"/>
    </row>
    <row r="147" ht="12.75">
      <c r="P147" s="364"/>
    </row>
    <row r="148" ht="12.75">
      <c r="P148" s="364"/>
    </row>
    <row r="149" ht="12.75">
      <c r="P149" s="364"/>
    </row>
    <row r="150" ht="12.75">
      <c r="P150" s="364"/>
    </row>
    <row r="151" ht="12.75">
      <c r="P151" s="364"/>
    </row>
    <row r="152" ht="12.75">
      <c r="P152" s="364"/>
    </row>
    <row r="153" ht="12.75">
      <c r="P153" s="364"/>
    </row>
    <row r="154" ht="12.75">
      <c r="P154" s="364"/>
    </row>
    <row r="155" ht="12.75">
      <c r="P155" s="364"/>
    </row>
    <row r="156" ht="12.75">
      <c r="P156" s="364"/>
    </row>
    <row r="157" ht="12.75">
      <c r="P157" s="364"/>
    </row>
    <row r="158" ht="12.75">
      <c r="P158" s="364"/>
    </row>
    <row r="159" ht="12.75">
      <c r="P159" s="364"/>
    </row>
    <row r="160" ht="12.75">
      <c r="P160" s="364"/>
    </row>
    <row r="161" ht="12.75">
      <c r="P161" s="364"/>
    </row>
    <row r="162" ht="12.75">
      <c r="P162" s="364"/>
    </row>
    <row r="163" ht="12.75">
      <c r="P163" s="364"/>
    </row>
    <row r="164" ht="12.75">
      <c r="P164" s="364"/>
    </row>
    <row r="165" ht="12.75">
      <c r="P165" s="364"/>
    </row>
    <row r="166" ht="12.75">
      <c r="P166" s="364"/>
    </row>
    <row r="167" ht="12.75">
      <c r="P167" s="364"/>
    </row>
    <row r="168" ht="12.75">
      <c r="P168" s="364"/>
    </row>
    <row r="169" ht="12.75">
      <c r="P169" s="364"/>
    </row>
    <row r="170" ht="12.75">
      <c r="P170" s="364"/>
    </row>
    <row r="171" ht="12.75">
      <c r="P171" s="364"/>
    </row>
    <row r="172" ht="12.75">
      <c r="P172" s="364"/>
    </row>
    <row r="173" ht="12.75">
      <c r="P173" s="364"/>
    </row>
    <row r="174" ht="12.75">
      <c r="P174" s="364"/>
    </row>
    <row r="175" ht="12.75">
      <c r="P175" s="364"/>
    </row>
    <row r="176" ht="12.75">
      <c r="P176" s="364"/>
    </row>
    <row r="177" ht="12.75">
      <c r="P177" s="364"/>
    </row>
    <row r="178" ht="12.75">
      <c r="P178" s="364"/>
    </row>
    <row r="179" ht="12.75">
      <c r="P179" s="364"/>
    </row>
    <row r="180" ht="12.75">
      <c r="P180" s="364"/>
    </row>
    <row r="181" ht="12.75">
      <c r="P181" s="364"/>
    </row>
    <row r="182" ht="12.75">
      <c r="P182" s="364"/>
    </row>
    <row r="183" ht="12.75">
      <c r="P183" s="364"/>
    </row>
    <row r="184" ht="12.75">
      <c r="P184" s="364"/>
    </row>
    <row r="185" ht="12.75">
      <c r="P185" s="364"/>
    </row>
    <row r="186" ht="12.75">
      <c r="P186" s="364"/>
    </row>
    <row r="187" ht="12.75">
      <c r="P187" s="364"/>
    </row>
    <row r="188" ht="12.75">
      <c r="P188" s="364"/>
    </row>
    <row r="189" ht="12.75">
      <c r="P189" s="364"/>
    </row>
    <row r="190" ht="12.75">
      <c r="P190" s="364"/>
    </row>
    <row r="191" ht="12.75">
      <c r="P191" s="364"/>
    </row>
    <row r="192" ht="12.75">
      <c r="P192" s="364"/>
    </row>
    <row r="193" ht="12.75">
      <c r="P193" s="364"/>
    </row>
    <row r="194" ht="12.75">
      <c r="P194" s="364"/>
    </row>
    <row r="195" ht="12.75">
      <c r="P195" s="364"/>
    </row>
    <row r="196" ht="12.75">
      <c r="P196" s="364"/>
    </row>
    <row r="197" ht="12.75">
      <c r="P197" s="364"/>
    </row>
    <row r="198" ht="12.75">
      <c r="P198" s="364"/>
    </row>
    <row r="199" ht="12.75">
      <c r="P199" s="364"/>
    </row>
    <row r="200" ht="12.75">
      <c r="P200" s="364"/>
    </row>
    <row r="201" ht="12.75">
      <c r="P201" s="364"/>
    </row>
    <row r="202" ht="12.75">
      <c r="P202" s="364"/>
    </row>
    <row r="203" ht="12.75">
      <c r="P203" s="364"/>
    </row>
    <row r="204" ht="12.75">
      <c r="P204" s="364"/>
    </row>
    <row r="205" ht="12.75">
      <c r="P205" s="364"/>
    </row>
    <row r="206" ht="12.75">
      <c r="P206" s="364"/>
    </row>
    <row r="207" ht="12.75">
      <c r="P207" s="364"/>
    </row>
    <row r="208" ht="12.75">
      <c r="P208" s="364"/>
    </row>
    <row r="209" ht="12.75">
      <c r="P209" s="364"/>
    </row>
    <row r="210" ht="12.75">
      <c r="P210" s="364"/>
    </row>
    <row r="211" ht="12.75">
      <c r="P211" s="364"/>
    </row>
    <row r="212" ht="12.75">
      <c r="P212" s="364"/>
    </row>
    <row r="213" ht="12.75">
      <c r="P213" s="364"/>
    </row>
    <row r="214" ht="12.75">
      <c r="P214" s="364"/>
    </row>
    <row r="215" ht="12.75">
      <c r="P215" s="364"/>
    </row>
    <row r="216" ht="12.75">
      <c r="P216" s="364"/>
    </row>
    <row r="217" ht="12.75">
      <c r="P217" s="364"/>
    </row>
    <row r="218" ht="12.75">
      <c r="P218" s="364"/>
    </row>
    <row r="219" ht="12.75">
      <c r="P219" s="364"/>
    </row>
    <row r="220" ht="12.75">
      <c r="P220" s="364"/>
    </row>
    <row r="221" ht="12.75">
      <c r="P221" s="364"/>
    </row>
    <row r="222" ht="12.75">
      <c r="P222" s="364"/>
    </row>
    <row r="223" ht="12.75">
      <c r="P223" s="364"/>
    </row>
    <row r="224" ht="12.75">
      <c r="P224" s="364"/>
    </row>
    <row r="225" ht="12.75">
      <c r="P225" s="364"/>
    </row>
    <row r="226" ht="12.75">
      <c r="P226" s="364"/>
    </row>
    <row r="227" ht="12.75">
      <c r="P227" s="364"/>
    </row>
    <row r="228" ht="12.75">
      <c r="P228" s="364"/>
    </row>
    <row r="229" ht="12.75">
      <c r="P229" s="364"/>
    </row>
    <row r="230" ht="12.75">
      <c r="P230" s="364"/>
    </row>
    <row r="231" ht="12.75">
      <c r="P231" s="364"/>
    </row>
    <row r="232" ht="12.75">
      <c r="P232" s="364"/>
    </row>
    <row r="233" ht="12.75">
      <c r="P233" s="364"/>
    </row>
    <row r="234" ht="12.75">
      <c r="P234" s="364"/>
    </row>
    <row r="235" ht="12.75">
      <c r="P235" s="364"/>
    </row>
    <row r="236" ht="12.75">
      <c r="P236" s="364"/>
    </row>
    <row r="237" ht="12.75">
      <c r="P237" s="364"/>
    </row>
    <row r="238" ht="12.75">
      <c r="P238" s="364"/>
    </row>
    <row r="239" ht="12.75">
      <c r="P239" s="364"/>
    </row>
    <row r="240" ht="12.75">
      <c r="P240" s="364"/>
    </row>
    <row r="241" ht="12.75">
      <c r="P241" s="364"/>
    </row>
    <row r="242" ht="12.75">
      <c r="P242" s="364"/>
    </row>
    <row r="243" ht="12.75">
      <c r="P243" s="364"/>
    </row>
    <row r="244" ht="12.75">
      <c r="P244" s="364"/>
    </row>
    <row r="245" ht="12.75">
      <c r="P245" s="364"/>
    </row>
    <row r="246" ht="12.75">
      <c r="P246" s="364"/>
    </row>
    <row r="247" ht="12.75">
      <c r="P247" s="364"/>
    </row>
    <row r="248" ht="12.75">
      <c r="P248" s="364"/>
    </row>
    <row r="249" ht="12.75">
      <c r="P249" s="364"/>
    </row>
    <row r="250" ht="12.75">
      <c r="P250" s="364"/>
    </row>
    <row r="251" ht="12.75">
      <c r="P251" s="364"/>
    </row>
    <row r="252" ht="12.75">
      <c r="P252" s="364"/>
    </row>
    <row r="253" ht="12.75">
      <c r="P253" s="364"/>
    </row>
    <row r="254" ht="12.75">
      <c r="P254" s="364"/>
    </row>
    <row r="255" ht="12.75">
      <c r="P255" s="364"/>
    </row>
    <row r="256" ht="12.75">
      <c r="P256" s="364"/>
    </row>
    <row r="257" ht="12.75">
      <c r="P257" s="364"/>
    </row>
    <row r="258" ht="12.75">
      <c r="P258" s="364"/>
    </row>
    <row r="259" ht="12.75">
      <c r="P259" s="364"/>
    </row>
    <row r="260" ht="12.75">
      <c r="P260" s="364"/>
    </row>
    <row r="261" ht="12.75">
      <c r="P261" s="364"/>
    </row>
    <row r="262" ht="12.75">
      <c r="P262" s="364"/>
    </row>
    <row r="263" ht="12.75">
      <c r="P263" s="364"/>
    </row>
    <row r="264" ht="12.75">
      <c r="P264" s="364"/>
    </row>
    <row r="265" ht="12.75">
      <c r="P265" s="364"/>
    </row>
    <row r="266" ht="12.75">
      <c r="P266" s="364"/>
    </row>
    <row r="267" ht="12.75">
      <c r="P267" s="364"/>
    </row>
    <row r="268" ht="12.75">
      <c r="P268" s="364"/>
    </row>
    <row r="269" ht="12.75">
      <c r="P269" s="364"/>
    </row>
    <row r="270" ht="12.75">
      <c r="P270" s="364"/>
    </row>
    <row r="271" ht="12.75">
      <c r="P271" s="364"/>
    </row>
    <row r="272" ht="12.75">
      <c r="P272" s="364"/>
    </row>
    <row r="273" ht="12.75">
      <c r="P273" s="364"/>
    </row>
    <row r="274" ht="12.75">
      <c r="P274" s="364"/>
    </row>
    <row r="275" ht="12.75">
      <c r="P275" s="364"/>
    </row>
    <row r="276" ht="12.75">
      <c r="P276" s="364"/>
    </row>
    <row r="277" ht="12.75">
      <c r="P277" s="364"/>
    </row>
    <row r="278" ht="12.75">
      <c r="P278" s="364"/>
    </row>
    <row r="279" ht="12.75">
      <c r="P279" s="364"/>
    </row>
    <row r="280" ht="12.75">
      <c r="P280" s="364"/>
    </row>
    <row r="281" ht="12.75">
      <c r="P281" s="364"/>
    </row>
    <row r="282" ht="12.75">
      <c r="P282" s="364"/>
    </row>
    <row r="283" ht="12.75">
      <c r="P283" s="364"/>
    </row>
    <row r="284" ht="12.75">
      <c r="P284" s="364"/>
    </row>
    <row r="285" ht="12.75">
      <c r="P285" s="364"/>
    </row>
    <row r="286" ht="12.75">
      <c r="P286" s="364"/>
    </row>
    <row r="287" ht="12.75">
      <c r="P287" s="364"/>
    </row>
    <row r="288" ht="12.75">
      <c r="P288" s="364"/>
    </row>
    <row r="289" ht="12.75">
      <c r="P289" s="364"/>
    </row>
    <row r="290" ht="12.75">
      <c r="P290" s="364"/>
    </row>
    <row r="291" ht="12.75">
      <c r="P291" s="364"/>
    </row>
    <row r="292" ht="12.75">
      <c r="P292" s="364"/>
    </row>
    <row r="293" ht="12.75">
      <c r="P293" s="364"/>
    </row>
    <row r="294" ht="12.75">
      <c r="P294" s="364"/>
    </row>
    <row r="295" ht="12.75">
      <c r="P295" s="364"/>
    </row>
    <row r="296" ht="12.75">
      <c r="P296" s="364"/>
    </row>
    <row r="297" ht="12.75">
      <c r="P297" s="364"/>
    </row>
    <row r="298" ht="12.75">
      <c r="P298" s="364"/>
    </row>
    <row r="299" ht="12.75">
      <c r="P299" s="364"/>
    </row>
    <row r="300" ht="12.75">
      <c r="P300" s="364"/>
    </row>
    <row r="301" ht="12.75">
      <c r="P301" s="364"/>
    </row>
    <row r="302" ht="12.75">
      <c r="P302" s="364"/>
    </row>
    <row r="303" ht="12.75">
      <c r="P303" s="364"/>
    </row>
    <row r="304" ht="12.75">
      <c r="P304" s="364"/>
    </row>
    <row r="305" ht="12.75">
      <c r="P305" s="364"/>
    </row>
    <row r="306" ht="12.75">
      <c r="P306" s="364"/>
    </row>
    <row r="307" ht="12.75">
      <c r="P307" s="364"/>
    </row>
    <row r="308" ht="12.75">
      <c r="P308" s="364"/>
    </row>
    <row r="309" ht="12.75">
      <c r="P309" s="364"/>
    </row>
    <row r="310" ht="12.75">
      <c r="P310" s="364"/>
    </row>
    <row r="311" ht="12.75">
      <c r="P311" s="364"/>
    </row>
    <row r="312" ht="12.75">
      <c r="P312" s="364"/>
    </row>
    <row r="313" ht="12.75">
      <c r="P313" s="364"/>
    </row>
    <row r="314" ht="12.75">
      <c r="P314" s="364"/>
    </row>
    <row r="315" ht="12.75">
      <c r="P315" s="364"/>
    </row>
    <row r="316" ht="12.75">
      <c r="P316" s="364"/>
    </row>
    <row r="317" ht="12.75">
      <c r="P317" s="364"/>
    </row>
    <row r="318" ht="12.75">
      <c r="P318" s="364"/>
    </row>
    <row r="319" ht="12.75">
      <c r="P319" s="364"/>
    </row>
    <row r="320" ht="12.75">
      <c r="P320" s="364"/>
    </row>
    <row r="321" ht="12.75">
      <c r="P321" s="364"/>
    </row>
    <row r="322" ht="12.75">
      <c r="P322" s="364"/>
    </row>
    <row r="323" ht="12.75">
      <c r="P323" s="364"/>
    </row>
    <row r="324" ht="12.75">
      <c r="P324" s="364"/>
    </row>
    <row r="325" ht="12.75">
      <c r="P325" s="364"/>
    </row>
    <row r="326" ht="12.75">
      <c r="P326" s="364"/>
    </row>
    <row r="327" ht="12.75">
      <c r="P327" s="364"/>
    </row>
    <row r="328" ht="12.75">
      <c r="P328" s="364"/>
    </row>
    <row r="329" ht="12.75">
      <c r="P329" s="364"/>
    </row>
    <row r="330" ht="12.75">
      <c r="P330" s="364"/>
    </row>
    <row r="331" ht="12.75">
      <c r="P331" s="364"/>
    </row>
    <row r="332" ht="12.75">
      <c r="P332" s="364"/>
    </row>
    <row r="333" ht="12.75">
      <c r="P333" s="364"/>
    </row>
    <row r="334" ht="12.75">
      <c r="P334" s="364"/>
    </row>
    <row r="335" ht="12.75">
      <c r="P335" s="364"/>
    </row>
    <row r="336" ht="12.75">
      <c r="P336" s="364"/>
    </row>
    <row r="337" ht="12.75">
      <c r="P337" s="364"/>
    </row>
    <row r="338" ht="12.75">
      <c r="P338" s="364"/>
    </row>
    <row r="339" ht="12.75">
      <c r="P339" s="364"/>
    </row>
    <row r="340" ht="12.75">
      <c r="P340" s="364"/>
    </row>
    <row r="341" ht="12.75">
      <c r="P341" s="364"/>
    </row>
    <row r="342" ht="12.75">
      <c r="P342" s="364"/>
    </row>
    <row r="343" ht="12.75">
      <c r="P343" s="364"/>
    </row>
    <row r="344" ht="12.75">
      <c r="P344" s="364"/>
    </row>
    <row r="345" ht="12.75">
      <c r="P345" s="364"/>
    </row>
    <row r="346" ht="12.75">
      <c r="P346" s="364"/>
    </row>
    <row r="347" ht="12.75">
      <c r="P347" s="364"/>
    </row>
    <row r="348" ht="12.75">
      <c r="P348" s="364"/>
    </row>
    <row r="349" ht="12.75">
      <c r="P349" s="364"/>
    </row>
    <row r="350" ht="12.75">
      <c r="P350" s="364"/>
    </row>
    <row r="351" ht="12.75">
      <c r="P351" s="364"/>
    </row>
    <row r="352" ht="12.75">
      <c r="P352" s="364"/>
    </row>
    <row r="353" ht="12.75">
      <c r="P353" s="364"/>
    </row>
    <row r="354" ht="12.75">
      <c r="P354" s="364"/>
    </row>
    <row r="355" ht="12.75">
      <c r="P355" s="364"/>
    </row>
    <row r="356" ht="12.75">
      <c r="P356" s="364"/>
    </row>
    <row r="357" ht="12.75">
      <c r="P357" s="364"/>
    </row>
    <row r="358" ht="12.75">
      <c r="P358" s="364"/>
    </row>
    <row r="359" ht="12.75">
      <c r="P359" s="364"/>
    </row>
    <row r="360" ht="12.75">
      <c r="P360" s="364"/>
    </row>
    <row r="361" ht="12.75">
      <c r="P361" s="364"/>
    </row>
    <row r="362" ht="12.75">
      <c r="P362" s="364"/>
    </row>
    <row r="363" ht="12.75">
      <c r="P363" s="364"/>
    </row>
    <row r="364" ht="12.75">
      <c r="P364" s="364"/>
    </row>
    <row r="365" ht="12.75">
      <c r="P365" s="364"/>
    </row>
    <row r="366" ht="12.75">
      <c r="P366" s="364"/>
    </row>
    <row r="367" ht="12.75">
      <c r="P367" s="364"/>
    </row>
    <row r="368" ht="12.75">
      <c r="P368" s="364"/>
    </row>
    <row r="369" ht="12.75">
      <c r="P369" s="364"/>
    </row>
    <row r="370" ht="12.75">
      <c r="P370" s="364"/>
    </row>
    <row r="371" ht="12.75">
      <c r="P371" s="364"/>
    </row>
    <row r="372" ht="12.75">
      <c r="P372" s="364"/>
    </row>
    <row r="373" ht="12.75">
      <c r="P373" s="364"/>
    </row>
    <row r="374" ht="12.75">
      <c r="P374" s="364"/>
    </row>
    <row r="375" ht="12.75">
      <c r="P375" s="364"/>
    </row>
    <row r="376" ht="12.75">
      <c r="P376" s="364"/>
    </row>
    <row r="377" ht="12.75">
      <c r="P377" s="364"/>
    </row>
    <row r="378" ht="12.75">
      <c r="P378" s="364"/>
    </row>
    <row r="379" ht="12.75">
      <c r="P379" s="364"/>
    </row>
    <row r="380" ht="12.75">
      <c r="P380" s="364"/>
    </row>
    <row r="381" ht="12.75">
      <c r="P381" s="364"/>
    </row>
    <row r="382" ht="12.75">
      <c r="P382" s="364"/>
    </row>
    <row r="383" ht="12.75">
      <c r="P383" s="364"/>
    </row>
    <row r="384" ht="12.75">
      <c r="P384" s="364"/>
    </row>
    <row r="385" ht="12.75">
      <c r="P385" s="364"/>
    </row>
    <row r="386" ht="12.75">
      <c r="P386" s="364"/>
    </row>
    <row r="387" ht="12.75">
      <c r="P387" s="364"/>
    </row>
    <row r="388" ht="12.75">
      <c r="P388" s="364"/>
    </row>
    <row r="389" ht="12.75">
      <c r="P389" s="364"/>
    </row>
    <row r="390" ht="12.75">
      <c r="P390" s="364"/>
    </row>
    <row r="391" ht="12.75">
      <c r="P391" s="364"/>
    </row>
    <row r="392" ht="12.75">
      <c r="P392" s="364"/>
    </row>
    <row r="393" ht="12.75">
      <c r="P393" s="364"/>
    </row>
    <row r="394" ht="12.75">
      <c r="P394" s="364"/>
    </row>
    <row r="395" ht="12.75">
      <c r="P395" s="364"/>
    </row>
    <row r="396" ht="12.75">
      <c r="P396" s="364"/>
    </row>
    <row r="397" ht="12.75">
      <c r="P397" s="364"/>
    </row>
    <row r="398" ht="12.75">
      <c r="P398" s="364"/>
    </row>
    <row r="399" ht="12.75">
      <c r="P399" s="364"/>
    </row>
    <row r="400" ht="12.75">
      <c r="P400" s="364"/>
    </row>
    <row r="401" ht="12.75">
      <c r="P401" s="364"/>
    </row>
    <row r="402" ht="12.75">
      <c r="P402" s="364"/>
    </row>
    <row r="403" ht="12.75">
      <c r="P403" s="364"/>
    </row>
    <row r="404" ht="12.75">
      <c r="P404" s="364"/>
    </row>
    <row r="405" ht="12.75">
      <c r="P405" s="364"/>
    </row>
    <row r="406" ht="12.75">
      <c r="P406" s="364"/>
    </row>
    <row r="407" ht="12.75">
      <c r="P407" s="364"/>
    </row>
    <row r="408" ht="12.75">
      <c r="P408" s="364"/>
    </row>
    <row r="409" ht="12.75">
      <c r="P409" s="364"/>
    </row>
    <row r="410" ht="12.75">
      <c r="P410" s="364"/>
    </row>
    <row r="411" ht="12.75">
      <c r="P411" s="364"/>
    </row>
    <row r="412" ht="12.75">
      <c r="P412" s="364"/>
    </row>
    <row r="413" ht="12.75">
      <c r="P413" s="364"/>
    </row>
    <row r="414" ht="12.75">
      <c r="P414" s="364"/>
    </row>
    <row r="415" ht="12.75">
      <c r="P415" s="364"/>
    </row>
    <row r="416" ht="12.75">
      <c r="P416" s="364"/>
    </row>
    <row r="417" ht="12.75">
      <c r="P417" s="364"/>
    </row>
    <row r="418" ht="12.75">
      <c r="P418" s="364"/>
    </row>
    <row r="419" ht="12.75">
      <c r="P419" s="364"/>
    </row>
    <row r="420" ht="12.75">
      <c r="P420" s="364"/>
    </row>
    <row r="421" ht="12.75">
      <c r="P421" s="364"/>
    </row>
    <row r="422" ht="12.75">
      <c r="P422" s="364"/>
    </row>
    <row r="423" ht="12.75">
      <c r="P423" s="364"/>
    </row>
    <row r="424" ht="12.75">
      <c r="P424" s="364"/>
    </row>
    <row r="425" ht="12.75">
      <c r="P425" s="364"/>
    </row>
    <row r="426" ht="12.75">
      <c r="P426" s="364"/>
    </row>
    <row r="427" ht="12.75">
      <c r="P427" s="364"/>
    </row>
    <row r="428" ht="12.75">
      <c r="P428" s="364"/>
    </row>
    <row r="429" ht="12.75">
      <c r="P429" s="364"/>
    </row>
    <row r="430" ht="12.75">
      <c r="P430" s="364"/>
    </row>
    <row r="431" ht="12.75">
      <c r="P431" s="364"/>
    </row>
    <row r="432" ht="12.75">
      <c r="P432" s="364"/>
    </row>
    <row r="433" ht="12.75">
      <c r="P433" s="364"/>
    </row>
    <row r="434" ht="12.75">
      <c r="P434" s="364"/>
    </row>
    <row r="435" ht="12.75">
      <c r="P435" s="364"/>
    </row>
    <row r="436" ht="12.75">
      <c r="P436" s="364"/>
    </row>
    <row r="437" ht="12.75">
      <c r="P437" s="364"/>
    </row>
    <row r="438" ht="12.75">
      <c r="P438" s="364"/>
    </row>
    <row r="439" ht="12.75">
      <c r="P439" s="364"/>
    </row>
    <row r="440" ht="12.75">
      <c r="P440" s="364"/>
    </row>
    <row r="441" ht="12.75">
      <c r="P441" s="364"/>
    </row>
    <row r="442" ht="12.75">
      <c r="P442" s="364"/>
    </row>
    <row r="443" ht="12.75">
      <c r="P443" s="364"/>
    </row>
    <row r="444" ht="12.75">
      <c r="P444" s="364"/>
    </row>
    <row r="445" ht="12.75">
      <c r="P445" s="364"/>
    </row>
    <row r="446" ht="12.75">
      <c r="P446" s="364"/>
    </row>
    <row r="447" ht="12.75">
      <c r="P447" s="364"/>
    </row>
    <row r="448" ht="12.75">
      <c r="P448" s="364"/>
    </row>
    <row r="449" ht="12.75">
      <c r="P449" s="364"/>
    </row>
    <row r="450" ht="12.75">
      <c r="P450" s="364"/>
    </row>
    <row r="451" ht="12.75">
      <c r="P451" s="364"/>
    </row>
    <row r="452" ht="12.75">
      <c r="P452" s="364"/>
    </row>
    <row r="453" ht="12.75">
      <c r="P453" s="364"/>
    </row>
    <row r="454" ht="12.75">
      <c r="P454" s="364"/>
    </row>
    <row r="455" ht="12.75">
      <c r="P455" s="364"/>
    </row>
    <row r="456" ht="12.75">
      <c r="P456" s="364"/>
    </row>
    <row r="457" ht="12.75">
      <c r="P457" s="364"/>
    </row>
    <row r="458" ht="12.75">
      <c r="P458" s="364"/>
    </row>
    <row r="459" ht="12.75">
      <c r="P459" s="364"/>
    </row>
    <row r="460" ht="12.75">
      <c r="P460" s="364"/>
    </row>
    <row r="461" ht="12.75">
      <c r="P461" s="364"/>
    </row>
    <row r="462" ht="12.75">
      <c r="P462" s="364"/>
    </row>
    <row r="463" ht="12.75">
      <c r="P463" s="364"/>
    </row>
    <row r="464" ht="12.75">
      <c r="P464" s="364"/>
    </row>
    <row r="465" ht="12.75">
      <c r="P465" s="364"/>
    </row>
    <row r="466" ht="12.75">
      <c r="P466" s="364"/>
    </row>
    <row r="467" ht="12.75">
      <c r="P467" s="364"/>
    </row>
    <row r="468" ht="12.75">
      <c r="P468" s="364"/>
    </row>
    <row r="469" ht="12.75">
      <c r="P469" s="364"/>
    </row>
    <row r="470" ht="12.75">
      <c r="P470" s="364"/>
    </row>
    <row r="471" ht="12.75">
      <c r="P471" s="364"/>
    </row>
    <row r="472" ht="12.75">
      <c r="P472" s="364"/>
    </row>
    <row r="473" ht="12.75">
      <c r="P473" s="364"/>
    </row>
    <row r="474" ht="12.75">
      <c r="P474" s="364"/>
    </row>
    <row r="475" ht="12.75">
      <c r="P475" s="364"/>
    </row>
    <row r="476" ht="12.75">
      <c r="P476" s="364"/>
    </row>
    <row r="477" ht="12.75">
      <c r="P477" s="364"/>
    </row>
    <row r="478" ht="12.75">
      <c r="P478" s="364"/>
    </row>
    <row r="479" ht="12.75">
      <c r="P479" s="364"/>
    </row>
    <row r="480" ht="12.75">
      <c r="P480" s="364"/>
    </row>
    <row r="481" ht="12.75">
      <c r="P481" s="364"/>
    </row>
    <row r="482" ht="12.75">
      <c r="P482" s="364"/>
    </row>
    <row r="483" ht="12.75">
      <c r="P483" s="364"/>
    </row>
    <row r="484" ht="12.75">
      <c r="P484" s="364"/>
    </row>
    <row r="485" ht="12.75">
      <c r="P485" s="364"/>
    </row>
    <row r="486" ht="12.75">
      <c r="P486" s="364"/>
    </row>
    <row r="487" ht="12.75">
      <c r="P487" s="364"/>
    </row>
    <row r="488" ht="12.75">
      <c r="P488" s="364"/>
    </row>
    <row r="489" ht="12.75">
      <c r="P489" s="364"/>
    </row>
    <row r="490" ht="12.75">
      <c r="P490" s="364"/>
    </row>
    <row r="491" ht="12.75">
      <c r="P491" s="364"/>
    </row>
    <row r="492" ht="12.75">
      <c r="P492" s="364"/>
    </row>
    <row r="493" ht="12.75">
      <c r="P493" s="364"/>
    </row>
    <row r="494" ht="12.75">
      <c r="P494" s="364"/>
    </row>
    <row r="495" ht="12.75">
      <c r="P495" s="364"/>
    </row>
    <row r="496" ht="12.75">
      <c r="P496" s="364"/>
    </row>
    <row r="497" ht="12.75">
      <c r="P497" s="364"/>
    </row>
    <row r="498" ht="12.75">
      <c r="P498" s="364"/>
    </row>
    <row r="499" ht="12.75">
      <c r="P499" s="364"/>
    </row>
    <row r="500" ht="12.75">
      <c r="P500" s="364"/>
    </row>
    <row r="501" ht="12.75">
      <c r="P501" s="364"/>
    </row>
    <row r="502" ht="12.75">
      <c r="P502" s="364"/>
    </row>
    <row r="503" ht="12.75">
      <c r="P503" s="364"/>
    </row>
    <row r="504" ht="12.75">
      <c r="P504" s="364"/>
    </row>
    <row r="505" ht="12.75">
      <c r="P505" s="364"/>
    </row>
    <row r="506" ht="12.75">
      <c r="P506" s="364"/>
    </row>
    <row r="507" ht="12.75">
      <c r="P507" s="364"/>
    </row>
    <row r="508" ht="12.75">
      <c r="P508" s="364"/>
    </row>
    <row r="509" ht="12.75">
      <c r="P509" s="364"/>
    </row>
    <row r="510" ht="12.75">
      <c r="P510" s="364"/>
    </row>
    <row r="511" ht="12.75">
      <c r="P511" s="364"/>
    </row>
    <row r="512" ht="12.75">
      <c r="P512" s="364"/>
    </row>
    <row r="513" ht="12.75">
      <c r="P513" s="364"/>
    </row>
    <row r="514" ht="12.75">
      <c r="P514" s="364"/>
    </row>
    <row r="515" ht="12.75">
      <c r="P515" s="364"/>
    </row>
    <row r="516" ht="12.75">
      <c r="P516" s="364"/>
    </row>
    <row r="517" ht="12.75">
      <c r="P517" s="364"/>
    </row>
    <row r="518" ht="12.75">
      <c r="P518" s="364"/>
    </row>
    <row r="519" ht="12.75">
      <c r="P519" s="364"/>
    </row>
    <row r="520" ht="12.75">
      <c r="P520" s="364"/>
    </row>
    <row r="521" ht="12.75">
      <c r="P521" s="364"/>
    </row>
    <row r="522" ht="12.75">
      <c r="P522" s="364"/>
    </row>
    <row r="523" ht="12.75">
      <c r="P523" s="364"/>
    </row>
    <row r="524" ht="12.75">
      <c r="P524" s="364"/>
    </row>
    <row r="525" ht="12.75">
      <c r="P525" s="364"/>
    </row>
    <row r="526" ht="12.75">
      <c r="P526" s="364"/>
    </row>
    <row r="527" ht="12.75">
      <c r="P527" s="364"/>
    </row>
    <row r="528" ht="12.75">
      <c r="P528" s="364"/>
    </row>
    <row r="529" ht="12.75">
      <c r="P529" s="364"/>
    </row>
    <row r="530" ht="12.75">
      <c r="P530" s="364"/>
    </row>
    <row r="531" ht="12.75">
      <c r="P531" s="364"/>
    </row>
    <row r="532" ht="12.75">
      <c r="P532" s="364"/>
    </row>
    <row r="533" ht="12.75">
      <c r="P533" s="364"/>
    </row>
    <row r="534" ht="12.75">
      <c r="P534" s="364"/>
    </row>
    <row r="535" ht="12.75">
      <c r="P535" s="364"/>
    </row>
    <row r="536" ht="12.75">
      <c r="P536" s="364"/>
    </row>
    <row r="537" ht="12.75">
      <c r="P537" s="364"/>
    </row>
    <row r="538" ht="12.75">
      <c r="P538" s="364"/>
    </row>
    <row r="539" ht="12.75">
      <c r="P539" s="364"/>
    </row>
    <row r="540" ht="12.75">
      <c r="P540" s="364"/>
    </row>
    <row r="541" ht="12.75">
      <c r="P541" s="364"/>
    </row>
    <row r="542" ht="12.75">
      <c r="P542" s="364"/>
    </row>
    <row r="543" ht="12.75">
      <c r="P543" s="364"/>
    </row>
    <row r="544" ht="12.75">
      <c r="P544" s="364"/>
    </row>
    <row r="545" ht="12.75">
      <c r="P545" s="364"/>
    </row>
    <row r="546" ht="12.75">
      <c r="P546" s="364"/>
    </row>
    <row r="547" ht="12.75">
      <c r="P547" s="364"/>
    </row>
    <row r="548" ht="12.75">
      <c r="P548" s="364"/>
    </row>
    <row r="549" ht="12.75">
      <c r="P549" s="364"/>
    </row>
    <row r="550" ht="12.75">
      <c r="P550" s="364"/>
    </row>
    <row r="551" ht="12.75">
      <c r="P551" s="364"/>
    </row>
    <row r="552" ht="12.75">
      <c r="P552" s="364"/>
    </row>
    <row r="553" ht="12.75">
      <c r="P553" s="364"/>
    </row>
    <row r="554" ht="12.75">
      <c r="P554" s="364"/>
    </row>
    <row r="555" ht="12.75">
      <c r="P555" s="364"/>
    </row>
    <row r="556" ht="12.75">
      <c r="P556" s="364"/>
    </row>
    <row r="557" ht="12.75">
      <c r="P557" s="364"/>
    </row>
    <row r="558" ht="12.75">
      <c r="P558" s="364"/>
    </row>
    <row r="559" ht="12.75">
      <c r="P559" s="364"/>
    </row>
    <row r="560" ht="12.75">
      <c r="P560" s="364"/>
    </row>
    <row r="561" ht="12.75">
      <c r="P561" s="364"/>
    </row>
    <row r="562" ht="12.75">
      <c r="P562" s="364"/>
    </row>
    <row r="563" ht="12.75">
      <c r="P563" s="364"/>
    </row>
    <row r="564" ht="12.75">
      <c r="P564" s="364"/>
    </row>
    <row r="565" ht="12.75">
      <c r="P565" s="364"/>
    </row>
    <row r="566" ht="12.75">
      <c r="P566" s="364"/>
    </row>
    <row r="567" ht="12.75">
      <c r="P567" s="364"/>
    </row>
    <row r="568" ht="12.75">
      <c r="P568" s="364"/>
    </row>
    <row r="569" ht="12.75">
      <c r="P569" s="364"/>
    </row>
    <row r="570" ht="12.75">
      <c r="P570" s="364"/>
    </row>
    <row r="571" ht="12.75">
      <c r="P571" s="364"/>
    </row>
    <row r="572" ht="12.75">
      <c r="P572" s="364"/>
    </row>
    <row r="573" ht="12.75">
      <c r="P573" s="364"/>
    </row>
    <row r="574" ht="12.75">
      <c r="P574" s="364"/>
    </row>
    <row r="575" ht="12.75">
      <c r="P575" s="364"/>
    </row>
    <row r="576" ht="12.75">
      <c r="P576" s="364"/>
    </row>
    <row r="577" ht="12.75">
      <c r="P577" s="364"/>
    </row>
    <row r="578" ht="12.75">
      <c r="P578" s="364"/>
    </row>
    <row r="579" ht="12.75">
      <c r="P579" s="364"/>
    </row>
    <row r="580" ht="12.75">
      <c r="P580" s="364"/>
    </row>
    <row r="581" ht="12.75">
      <c r="P581" s="364"/>
    </row>
    <row r="582" ht="12.75">
      <c r="P582" s="364"/>
    </row>
    <row r="583" ht="12.75">
      <c r="P583" s="364"/>
    </row>
    <row r="584" ht="12.75">
      <c r="P584" s="364"/>
    </row>
    <row r="585" ht="12.75">
      <c r="P585" s="364"/>
    </row>
    <row r="586" ht="12.75">
      <c r="P586" s="364"/>
    </row>
    <row r="587" ht="12.75">
      <c r="P587" s="364"/>
    </row>
    <row r="588" ht="12.75">
      <c r="P588" s="364"/>
    </row>
    <row r="589" ht="12.75">
      <c r="P589" s="364"/>
    </row>
    <row r="590" ht="12.75">
      <c r="P590" s="364"/>
    </row>
    <row r="591" ht="12.75">
      <c r="P591" s="364"/>
    </row>
    <row r="592" ht="12.75">
      <c r="P592" s="364"/>
    </row>
    <row r="593" ht="12.75">
      <c r="P593" s="364"/>
    </row>
    <row r="594" ht="12.75">
      <c r="P594" s="364"/>
    </row>
    <row r="595" ht="12.75">
      <c r="P595" s="364"/>
    </row>
    <row r="596" ht="12.75">
      <c r="P596" s="364"/>
    </row>
    <row r="597" ht="12.75">
      <c r="P597" s="364"/>
    </row>
    <row r="598" ht="12.75">
      <c r="P598" s="364"/>
    </row>
    <row r="599" ht="12.75">
      <c r="P599" s="364"/>
    </row>
    <row r="600" ht="12.75">
      <c r="P600" s="364"/>
    </row>
    <row r="601" ht="12.75">
      <c r="P601" s="364"/>
    </row>
    <row r="602" ht="12.75">
      <c r="P602" s="364"/>
    </row>
    <row r="603" ht="12.75">
      <c r="P603" s="364"/>
    </row>
    <row r="604" ht="12.75">
      <c r="P604" s="364"/>
    </row>
    <row r="605" ht="12.75">
      <c r="P605" s="364"/>
    </row>
    <row r="606" ht="12.75">
      <c r="P606" s="364"/>
    </row>
    <row r="607" ht="12.75">
      <c r="P607" s="364"/>
    </row>
    <row r="608" ht="12.75">
      <c r="P608" s="364"/>
    </row>
    <row r="609" ht="12.75">
      <c r="P609" s="364"/>
    </row>
    <row r="610" ht="12.75">
      <c r="P610" s="364"/>
    </row>
    <row r="611" ht="12.75">
      <c r="P611" s="364"/>
    </row>
    <row r="612" ht="12.75">
      <c r="P612" s="364"/>
    </row>
    <row r="613" ht="12.75">
      <c r="P613" s="364"/>
    </row>
    <row r="614" ht="12.75">
      <c r="P614" s="364"/>
    </row>
    <row r="615" ht="12.75">
      <c r="P615" s="364"/>
    </row>
    <row r="616" ht="12.75">
      <c r="P616" s="364"/>
    </row>
    <row r="617" ht="12.75">
      <c r="P617" s="364"/>
    </row>
    <row r="618" ht="12.75">
      <c r="P618" s="364"/>
    </row>
    <row r="619" ht="12.75">
      <c r="P619" s="364"/>
    </row>
    <row r="620" ht="12.75">
      <c r="P620" s="364"/>
    </row>
    <row r="621" ht="12.75">
      <c r="P621" s="364"/>
    </row>
    <row r="622" ht="12.75">
      <c r="P622" s="364"/>
    </row>
    <row r="623" ht="12.75">
      <c r="P623" s="364"/>
    </row>
    <row r="624" ht="12.75">
      <c r="P624" s="364"/>
    </row>
    <row r="625" ht="12.75">
      <c r="P625" s="364"/>
    </row>
    <row r="626" ht="12.75">
      <c r="P626" s="364"/>
    </row>
    <row r="627" ht="12.75">
      <c r="P627" s="364"/>
    </row>
    <row r="628" ht="12.75">
      <c r="P628" s="364"/>
    </row>
    <row r="629" ht="12.75">
      <c r="P629" s="364"/>
    </row>
    <row r="630" ht="12.75">
      <c r="P630" s="364"/>
    </row>
    <row r="631" ht="12.75">
      <c r="P631" s="364"/>
    </row>
    <row r="632" ht="12.75">
      <c r="P632" s="364"/>
    </row>
    <row r="633" ht="12.75">
      <c r="P633" s="364"/>
    </row>
    <row r="634" ht="12.75">
      <c r="P634" s="364"/>
    </row>
    <row r="635" ht="12.75">
      <c r="P635" s="364"/>
    </row>
    <row r="636" ht="12.75">
      <c r="P636" s="364"/>
    </row>
    <row r="637" ht="12.75">
      <c r="P637" s="364"/>
    </row>
    <row r="638" ht="12.75">
      <c r="P638" s="364"/>
    </row>
    <row r="639" ht="12.75">
      <c r="P639" s="364"/>
    </row>
    <row r="640" ht="12.75">
      <c r="P640" s="364"/>
    </row>
    <row r="641" ht="12.75">
      <c r="P641" s="364"/>
    </row>
    <row r="642" ht="12.75">
      <c r="P642" s="364"/>
    </row>
    <row r="643" ht="12.75">
      <c r="P643" s="364"/>
    </row>
    <row r="644" ht="12.75">
      <c r="P644" s="364"/>
    </row>
    <row r="645" ht="12.75">
      <c r="P645" s="364"/>
    </row>
    <row r="646" ht="12.75">
      <c r="P646" s="364"/>
    </row>
    <row r="647" ht="12.75">
      <c r="P647" s="364"/>
    </row>
    <row r="648" ht="12.75">
      <c r="P648" s="364"/>
    </row>
    <row r="649" ht="12.75">
      <c r="P649" s="364"/>
    </row>
    <row r="650" ht="12.75">
      <c r="P650" s="364"/>
    </row>
    <row r="651" ht="12.75">
      <c r="P651" s="364"/>
    </row>
    <row r="652" ht="12.75">
      <c r="P652" s="364"/>
    </row>
    <row r="653" ht="12.75">
      <c r="P653" s="364"/>
    </row>
    <row r="654" ht="12.75">
      <c r="P654" s="364"/>
    </row>
    <row r="655" ht="12.75">
      <c r="P655" s="364"/>
    </row>
    <row r="656" ht="12.75">
      <c r="P656" s="364"/>
    </row>
    <row r="657" ht="12.75">
      <c r="P657" s="364"/>
    </row>
    <row r="658" ht="12.75">
      <c r="P658" s="364"/>
    </row>
    <row r="659" ht="12.75">
      <c r="P659" s="364"/>
    </row>
    <row r="660" ht="12.75">
      <c r="P660" s="364"/>
    </row>
    <row r="661" ht="12.75">
      <c r="P661" s="364"/>
    </row>
    <row r="662" ht="12.75">
      <c r="P662" s="364"/>
    </row>
    <row r="663" ht="12.75">
      <c r="P663" s="364"/>
    </row>
    <row r="664" ht="12.75">
      <c r="P664" s="364"/>
    </row>
    <row r="665" ht="12.75">
      <c r="P665" s="364"/>
    </row>
    <row r="666" ht="12.75">
      <c r="P666" s="364"/>
    </row>
    <row r="667" ht="12.75">
      <c r="P667" s="364"/>
    </row>
    <row r="668" ht="12.75">
      <c r="P668" s="364"/>
    </row>
    <row r="669" ht="12.75">
      <c r="P669" s="364"/>
    </row>
    <row r="670" ht="12.75">
      <c r="P670" s="364"/>
    </row>
    <row r="671" ht="12.75">
      <c r="P671" s="364"/>
    </row>
    <row r="672" ht="12.75">
      <c r="P672" s="364"/>
    </row>
    <row r="673" ht="12.75">
      <c r="P673" s="364"/>
    </row>
    <row r="674" ht="12.75">
      <c r="P674" s="364"/>
    </row>
    <row r="675" ht="12.75">
      <c r="P675" s="364"/>
    </row>
    <row r="676" ht="12.75">
      <c r="P676" s="364"/>
    </row>
    <row r="677" ht="12.75">
      <c r="P677" s="364"/>
    </row>
    <row r="678" ht="12.75">
      <c r="P678" s="364"/>
    </row>
    <row r="679" ht="12.75">
      <c r="P679" s="364"/>
    </row>
    <row r="680" ht="12.75">
      <c r="P680" s="364"/>
    </row>
    <row r="681" ht="12.75">
      <c r="P681" s="364"/>
    </row>
    <row r="682" ht="12.75">
      <c r="P682" s="364"/>
    </row>
    <row r="683" ht="12.75">
      <c r="P683" s="364"/>
    </row>
    <row r="684" ht="12.75">
      <c r="P684" s="364"/>
    </row>
    <row r="685" ht="12.75">
      <c r="P685" s="364"/>
    </row>
    <row r="686" ht="12.75">
      <c r="P686" s="364"/>
    </row>
    <row r="687" ht="12.75">
      <c r="P687" s="364"/>
    </row>
    <row r="688" ht="12.75">
      <c r="P688" s="364"/>
    </row>
    <row r="689" ht="12.75">
      <c r="P689" s="364"/>
    </row>
    <row r="690" ht="12.75">
      <c r="P690" s="364"/>
    </row>
    <row r="691" ht="12.75">
      <c r="P691" s="364"/>
    </row>
    <row r="692" ht="12.75">
      <c r="P692" s="364"/>
    </row>
    <row r="693" ht="12.75">
      <c r="P693" s="364"/>
    </row>
    <row r="694" ht="12.75">
      <c r="P694" s="364"/>
    </row>
    <row r="695" ht="12.75">
      <c r="P695" s="364"/>
    </row>
    <row r="696" ht="12.75">
      <c r="P696" s="364"/>
    </row>
    <row r="697" ht="12.75">
      <c r="P697" s="364"/>
    </row>
    <row r="698" ht="12.75">
      <c r="P698" s="364"/>
    </row>
    <row r="699" ht="12.75">
      <c r="P699" s="364"/>
    </row>
    <row r="700" ht="12.75">
      <c r="P700" s="364"/>
    </row>
    <row r="701" ht="12.75">
      <c r="P701" s="364"/>
    </row>
    <row r="702" ht="12.75">
      <c r="P702" s="364"/>
    </row>
    <row r="703" ht="12.75">
      <c r="P703" s="364"/>
    </row>
    <row r="704" ht="12.75">
      <c r="P704" s="364"/>
    </row>
    <row r="705" ht="12.75">
      <c r="P705" s="364"/>
    </row>
    <row r="706" ht="12.75">
      <c r="P706" s="364"/>
    </row>
    <row r="707" ht="12.75">
      <c r="P707" s="364"/>
    </row>
    <row r="708" ht="12.75">
      <c r="P708" s="364"/>
    </row>
    <row r="709" ht="12.75">
      <c r="P709" s="364"/>
    </row>
    <row r="710" ht="12.75">
      <c r="P710" s="364"/>
    </row>
    <row r="711" ht="12.75">
      <c r="P711" s="364"/>
    </row>
    <row r="712" ht="12.75">
      <c r="P712" s="364"/>
    </row>
    <row r="713" ht="12.75">
      <c r="P713" s="364"/>
    </row>
    <row r="714" ht="12.75">
      <c r="P714" s="364"/>
    </row>
    <row r="715" ht="12.75">
      <c r="P715" s="364"/>
    </row>
    <row r="716" ht="12.75">
      <c r="P716" s="364"/>
    </row>
    <row r="717" ht="12.75">
      <c r="P717" s="364"/>
    </row>
    <row r="718" ht="12.75">
      <c r="P718" s="364"/>
    </row>
    <row r="719" ht="12.75">
      <c r="P719" s="364"/>
    </row>
    <row r="720" ht="12.75">
      <c r="P720" s="364"/>
    </row>
    <row r="721" ht="12.75">
      <c r="P721" s="364"/>
    </row>
    <row r="722" ht="12.75">
      <c r="P722" s="364"/>
    </row>
    <row r="723" ht="12.75">
      <c r="P723" s="364"/>
    </row>
    <row r="724" ht="12.75">
      <c r="P724" s="364"/>
    </row>
    <row r="725" ht="12.75">
      <c r="P725" s="364"/>
    </row>
    <row r="726" ht="12.75">
      <c r="P726" s="364"/>
    </row>
    <row r="727" ht="12.75">
      <c r="P727" s="364"/>
    </row>
    <row r="728" ht="12.75">
      <c r="P728" s="364"/>
    </row>
    <row r="729" ht="12.75">
      <c r="P729" s="364"/>
    </row>
    <row r="730" ht="12.75">
      <c r="P730" s="364"/>
    </row>
    <row r="731" ht="12.75">
      <c r="P731" s="364"/>
    </row>
    <row r="732" ht="12.75">
      <c r="P732" s="364"/>
    </row>
    <row r="733" ht="12.75">
      <c r="P733" s="364"/>
    </row>
    <row r="734" ht="12.75">
      <c r="P734" s="364"/>
    </row>
    <row r="735" ht="12.75">
      <c r="P735" s="364"/>
    </row>
    <row r="736" ht="12.75">
      <c r="P736" s="364"/>
    </row>
    <row r="737" ht="12.75">
      <c r="P737" s="364"/>
    </row>
    <row r="738" ht="12.75">
      <c r="P738" s="364"/>
    </row>
    <row r="739" ht="12.75">
      <c r="P739" s="364"/>
    </row>
    <row r="740" ht="12.75">
      <c r="P740" s="364"/>
    </row>
    <row r="741" ht="12.75">
      <c r="P741" s="364"/>
    </row>
    <row r="742" ht="12.75">
      <c r="P742" s="364"/>
    </row>
    <row r="743" ht="12.75">
      <c r="P743" s="364"/>
    </row>
    <row r="744" ht="12.75">
      <c r="P744" s="364"/>
    </row>
    <row r="745" ht="12.75">
      <c r="P745" s="364"/>
    </row>
    <row r="746" ht="12.75">
      <c r="P746" s="364"/>
    </row>
    <row r="747" ht="12.75">
      <c r="P747" s="364"/>
    </row>
    <row r="748" ht="12.75">
      <c r="P748" s="364"/>
    </row>
    <row r="749" ht="12.75">
      <c r="P749" s="364"/>
    </row>
    <row r="750" ht="12.75">
      <c r="P750" s="364"/>
    </row>
    <row r="751" ht="12.75">
      <c r="P751" s="364"/>
    </row>
    <row r="752" ht="12.75">
      <c r="P752" s="364"/>
    </row>
    <row r="753" ht="12.75">
      <c r="P753" s="364"/>
    </row>
    <row r="754" ht="12.75">
      <c r="P754" s="364"/>
    </row>
    <row r="755" ht="12.75">
      <c r="P755" s="364"/>
    </row>
    <row r="756" ht="12.75">
      <c r="P756" s="364"/>
    </row>
    <row r="757" ht="12.75">
      <c r="P757" s="364"/>
    </row>
    <row r="758" ht="12.75">
      <c r="P758" s="364"/>
    </row>
    <row r="759" ht="12.75">
      <c r="P759" s="364"/>
    </row>
    <row r="760" ht="12.75">
      <c r="P760" s="364"/>
    </row>
    <row r="761" ht="12.75">
      <c r="P761" s="364"/>
    </row>
    <row r="762" ht="12.75">
      <c r="P762" s="364"/>
    </row>
    <row r="763" ht="12.75">
      <c r="P763" s="364"/>
    </row>
    <row r="764" ht="12.75">
      <c r="P764" s="364"/>
    </row>
    <row r="765" ht="12.75">
      <c r="P765" s="364"/>
    </row>
    <row r="766" ht="12.75">
      <c r="P766" s="364"/>
    </row>
    <row r="767" ht="12.75">
      <c r="P767" s="364"/>
    </row>
    <row r="768" ht="12.75">
      <c r="P768" s="364"/>
    </row>
    <row r="769" ht="12.75">
      <c r="P769" s="364"/>
    </row>
    <row r="770" ht="12.75">
      <c r="P770" s="364"/>
    </row>
    <row r="771" ht="12.75">
      <c r="P771" s="364"/>
    </row>
    <row r="772" ht="12.75">
      <c r="P772" s="364"/>
    </row>
    <row r="773" ht="12.75">
      <c r="P773" s="364"/>
    </row>
    <row r="774" ht="12.75">
      <c r="P774" s="364"/>
    </row>
    <row r="775" ht="12.75">
      <c r="P775" s="364"/>
    </row>
    <row r="776" ht="12.75">
      <c r="P776" s="364"/>
    </row>
    <row r="777" ht="12.75">
      <c r="P777" s="364"/>
    </row>
    <row r="778" ht="12.75">
      <c r="P778" s="364"/>
    </row>
    <row r="779" ht="12.75">
      <c r="P779" s="364"/>
    </row>
    <row r="780" ht="12.75">
      <c r="P780" s="364"/>
    </row>
    <row r="781" ht="12.75">
      <c r="P781" s="364"/>
    </row>
    <row r="782" ht="12.75">
      <c r="P782" s="364"/>
    </row>
    <row r="783" ht="12.75">
      <c r="P783" s="364"/>
    </row>
    <row r="784" ht="12.75">
      <c r="P784" s="364"/>
    </row>
    <row r="785" ht="12.75">
      <c r="P785" s="364"/>
    </row>
    <row r="786" ht="12.75">
      <c r="P786" s="364"/>
    </row>
    <row r="787" ht="12.75">
      <c r="P787" s="364"/>
    </row>
    <row r="788" ht="12.75">
      <c r="P788" s="364"/>
    </row>
    <row r="789" ht="12.75">
      <c r="P789" s="364"/>
    </row>
    <row r="790" ht="12.75">
      <c r="P790" s="364"/>
    </row>
    <row r="791" ht="12.75">
      <c r="P791" s="364"/>
    </row>
    <row r="792" ht="12.75">
      <c r="P792" s="364"/>
    </row>
    <row r="793" ht="12.75">
      <c r="P793" s="364"/>
    </row>
    <row r="794" ht="12.75">
      <c r="P794" s="364"/>
    </row>
    <row r="795" ht="12.75">
      <c r="P795" s="364"/>
    </row>
    <row r="796" ht="12.75">
      <c r="P796" s="364"/>
    </row>
    <row r="797" ht="12.75">
      <c r="P797" s="364"/>
    </row>
    <row r="798" ht="12.75">
      <c r="P798" s="364"/>
    </row>
    <row r="799" ht="12.75">
      <c r="P799" s="364"/>
    </row>
    <row r="800" ht="12.75">
      <c r="P800" s="364"/>
    </row>
    <row r="801" ht="12.75">
      <c r="P801" s="364"/>
    </row>
    <row r="802" ht="12.75">
      <c r="P802" s="364"/>
    </row>
    <row r="803" ht="12.75">
      <c r="P803" s="364"/>
    </row>
    <row r="804" ht="12.75">
      <c r="P804" s="364"/>
    </row>
    <row r="805" ht="12.75">
      <c r="P805" s="364"/>
    </row>
    <row r="806" ht="12.75">
      <c r="P806" s="364"/>
    </row>
    <row r="807" ht="12.75">
      <c r="P807" s="364"/>
    </row>
    <row r="808" ht="12.75">
      <c r="P808" s="364"/>
    </row>
    <row r="809" ht="12.75">
      <c r="P809" s="364"/>
    </row>
    <row r="810" ht="12.75">
      <c r="P810" s="364"/>
    </row>
    <row r="811" ht="12.75">
      <c r="P811" s="364"/>
    </row>
    <row r="812" ht="12.75">
      <c r="P812" s="364"/>
    </row>
    <row r="813" ht="12.75">
      <c r="P813" s="364"/>
    </row>
    <row r="814" ht="12.75">
      <c r="P814" s="364"/>
    </row>
    <row r="815" ht="12.75">
      <c r="P815" s="364"/>
    </row>
    <row r="816" ht="12.75">
      <c r="P816" s="364"/>
    </row>
    <row r="817" ht="12.75">
      <c r="P817" s="364"/>
    </row>
    <row r="818" ht="12.75">
      <c r="P818" s="364"/>
    </row>
    <row r="819" ht="12.75">
      <c r="P819" s="364"/>
    </row>
    <row r="820" ht="12.75">
      <c r="P820" s="364"/>
    </row>
    <row r="821" ht="12.75">
      <c r="P821" s="364"/>
    </row>
    <row r="822" ht="12.75">
      <c r="P822" s="364"/>
    </row>
    <row r="823" ht="12.75">
      <c r="P823" s="364"/>
    </row>
    <row r="824" ht="12.75">
      <c r="P824" s="364"/>
    </row>
    <row r="825" ht="12.75">
      <c r="P825" s="364"/>
    </row>
    <row r="826" ht="12.75">
      <c r="P826" s="364"/>
    </row>
    <row r="827" ht="12.75">
      <c r="P827" s="364"/>
    </row>
    <row r="828" ht="12.75">
      <c r="P828" s="364"/>
    </row>
    <row r="829" ht="12.75">
      <c r="P829" s="364"/>
    </row>
    <row r="830" ht="12.75">
      <c r="P830" s="364"/>
    </row>
    <row r="831" ht="12.75">
      <c r="P831" s="364"/>
    </row>
    <row r="832" ht="12.75">
      <c r="P832" s="364"/>
    </row>
    <row r="833" ht="12.75">
      <c r="P833" s="364"/>
    </row>
    <row r="834" ht="12.75">
      <c r="P834" s="364"/>
    </row>
    <row r="835" ht="12.75">
      <c r="P835" s="364"/>
    </row>
    <row r="836" ht="12.75">
      <c r="P836" s="364"/>
    </row>
    <row r="837" ht="12.75">
      <c r="P837" s="364"/>
    </row>
    <row r="838" ht="12.75">
      <c r="P838" s="364"/>
    </row>
    <row r="839" ht="12.75">
      <c r="P839" s="364"/>
    </row>
    <row r="840" ht="12.75">
      <c r="P840" s="364"/>
    </row>
    <row r="841" ht="12.75">
      <c r="P841" s="364"/>
    </row>
    <row r="842" ht="12.75">
      <c r="P842" s="364"/>
    </row>
    <row r="843" ht="12.75">
      <c r="P843" s="364"/>
    </row>
    <row r="844" ht="12.75">
      <c r="P844" s="364"/>
    </row>
    <row r="845" ht="12.75">
      <c r="P845" s="364"/>
    </row>
    <row r="846" ht="12.75">
      <c r="P846" s="364"/>
    </row>
    <row r="847" ht="12.75">
      <c r="P847" s="364"/>
    </row>
    <row r="848" ht="12.75">
      <c r="P848" s="364"/>
    </row>
    <row r="849" ht="12.75">
      <c r="P849" s="364"/>
    </row>
    <row r="850" ht="12.75">
      <c r="P850" s="364"/>
    </row>
    <row r="851" ht="12.75">
      <c r="P851" s="364"/>
    </row>
    <row r="852" ht="12.75">
      <c r="P852" s="364"/>
    </row>
    <row r="853" ht="12.75">
      <c r="P853" s="364"/>
    </row>
    <row r="854" ht="12.75">
      <c r="P854" s="364"/>
    </row>
    <row r="855" ht="12.75">
      <c r="P855" s="364"/>
    </row>
    <row r="856" ht="12.75">
      <c r="P856" s="364"/>
    </row>
    <row r="857" ht="12.75">
      <c r="P857" s="364"/>
    </row>
    <row r="858" ht="12.75">
      <c r="P858" s="364"/>
    </row>
    <row r="859" ht="12.75">
      <c r="P859" s="364"/>
    </row>
    <row r="860" ht="12.75">
      <c r="P860" s="364"/>
    </row>
    <row r="861" ht="12.75">
      <c r="P861" s="364"/>
    </row>
    <row r="862" ht="12.75">
      <c r="P862" s="364"/>
    </row>
    <row r="863" ht="12.75">
      <c r="P863" s="364"/>
    </row>
    <row r="864" ht="12.75">
      <c r="P864" s="364"/>
    </row>
    <row r="865" ht="12.75">
      <c r="P865" s="364"/>
    </row>
    <row r="866" ht="12.75">
      <c r="P866" s="364"/>
    </row>
    <row r="867" ht="12.75">
      <c r="P867" s="364"/>
    </row>
    <row r="868" ht="12.75">
      <c r="P868" s="364"/>
    </row>
    <row r="869" ht="12.75">
      <c r="P869" s="364"/>
    </row>
    <row r="870" ht="12.75">
      <c r="P870" s="364"/>
    </row>
    <row r="871" ht="12.75">
      <c r="P871" s="364"/>
    </row>
    <row r="872" ht="12.75">
      <c r="P872" s="364"/>
    </row>
    <row r="873" ht="12.75">
      <c r="P873" s="364"/>
    </row>
    <row r="874" ht="12.75">
      <c r="P874" s="364"/>
    </row>
    <row r="875" ht="12.75">
      <c r="P875" s="364"/>
    </row>
    <row r="876" ht="12.75">
      <c r="P876" s="364"/>
    </row>
    <row r="877" ht="12.75">
      <c r="P877" s="364"/>
    </row>
    <row r="878" ht="12.75">
      <c r="P878" s="364"/>
    </row>
    <row r="879" ht="12.75">
      <c r="P879" s="364"/>
    </row>
    <row r="880" ht="12.75">
      <c r="P880" s="364"/>
    </row>
    <row r="881" ht="12.75">
      <c r="P881" s="364"/>
    </row>
    <row r="882" ht="12.75">
      <c r="P882" s="364"/>
    </row>
    <row r="883" ht="12.75">
      <c r="P883" s="364"/>
    </row>
    <row r="884" ht="12.75">
      <c r="P884" s="364"/>
    </row>
    <row r="885" ht="12.75">
      <c r="P885" s="364"/>
    </row>
    <row r="886" ht="12.75">
      <c r="P886" s="364"/>
    </row>
    <row r="887" ht="12.75">
      <c r="P887" s="364"/>
    </row>
    <row r="888" ht="12.75">
      <c r="P888" s="364"/>
    </row>
    <row r="889" ht="12.75">
      <c r="P889" s="364"/>
    </row>
    <row r="890" ht="12.75">
      <c r="P890" s="364"/>
    </row>
    <row r="891" ht="12.75">
      <c r="P891" s="364"/>
    </row>
    <row r="892" ht="12.75">
      <c r="P892" s="364"/>
    </row>
    <row r="893" ht="12.75">
      <c r="P893" s="364"/>
    </row>
    <row r="894" ht="12.75">
      <c r="P894" s="364"/>
    </row>
    <row r="895" ht="12.75">
      <c r="P895" s="364"/>
    </row>
    <row r="896" ht="12.75">
      <c r="P896" s="364"/>
    </row>
    <row r="897" ht="12.75">
      <c r="P897" s="364"/>
    </row>
    <row r="898" ht="12.75">
      <c r="P898" s="364"/>
    </row>
    <row r="899" ht="12.75">
      <c r="P899" s="364"/>
    </row>
    <row r="900" ht="12.75">
      <c r="P900" s="364"/>
    </row>
    <row r="901" ht="12.75">
      <c r="P901" s="364"/>
    </row>
    <row r="902" ht="12.75">
      <c r="P902" s="364"/>
    </row>
    <row r="903" ht="12.75">
      <c r="P903" s="364"/>
    </row>
    <row r="904" ht="12.75">
      <c r="P904" s="364"/>
    </row>
    <row r="905" ht="12.75">
      <c r="P905" s="364"/>
    </row>
    <row r="906" ht="12.75">
      <c r="P906" s="364"/>
    </row>
    <row r="907" ht="12.75">
      <c r="P907" s="364"/>
    </row>
    <row r="908" ht="12.75">
      <c r="P908" s="364"/>
    </row>
    <row r="909" ht="12.75">
      <c r="P909" s="364"/>
    </row>
    <row r="910" ht="12.75">
      <c r="P910" s="364"/>
    </row>
    <row r="911" ht="12.75">
      <c r="P911" s="364"/>
    </row>
    <row r="912" ht="12.75">
      <c r="P912" s="364"/>
    </row>
    <row r="913" ht="12.75">
      <c r="P913" s="364"/>
    </row>
    <row r="914" ht="12.75">
      <c r="P914" s="364"/>
    </row>
    <row r="915" ht="12.75">
      <c r="P915" s="364"/>
    </row>
    <row r="916" ht="12.75">
      <c r="P916" s="364"/>
    </row>
    <row r="917" ht="12.75">
      <c r="P917" s="364"/>
    </row>
    <row r="918" ht="12.75">
      <c r="P918" s="364"/>
    </row>
    <row r="919" ht="12.75">
      <c r="P919" s="364"/>
    </row>
    <row r="920" ht="12.75">
      <c r="P920" s="364"/>
    </row>
    <row r="921" ht="12.75">
      <c r="P921" s="364"/>
    </row>
    <row r="922" ht="12.75">
      <c r="P922" s="364"/>
    </row>
    <row r="923" ht="12.75">
      <c r="P923" s="364"/>
    </row>
    <row r="924" ht="12.75">
      <c r="P924" s="364"/>
    </row>
    <row r="925" ht="12.75">
      <c r="P925" s="364"/>
    </row>
    <row r="926" ht="12.75">
      <c r="P926" s="364"/>
    </row>
    <row r="927" ht="12.75">
      <c r="P927" s="364"/>
    </row>
    <row r="928" ht="12.75">
      <c r="P928" s="364"/>
    </row>
    <row r="929" ht="12.75">
      <c r="P929" s="364"/>
    </row>
    <row r="930" ht="12.75">
      <c r="P930" s="364"/>
    </row>
    <row r="931" ht="12.75">
      <c r="P931" s="364"/>
    </row>
    <row r="932" ht="12.75">
      <c r="P932" s="364"/>
    </row>
    <row r="933" ht="12.75">
      <c r="P933" s="364"/>
    </row>
    <row r="934" ht="12.75">
      <c r="P934" s="364"/>
    </row>
    <row r="935" ht="12.75">
      <c r="P935" s="364"/>
    </row>
    <row r="936" ht="12.75">
      <c r="P936" s="364"/>
    </row>
    <row r="937" ht="12.75">
      <c r="P937" s="364"/>
    </row>
    <row r="938" ht="12.75">
      <c r="P938" s="364"/>
    </row>
    <row r="939" ht="12.75">
      <c r="P939" s="364"/>
    </row>
    <row r="940" ht="12.75">
      <c r="P940" s="364"/>
    </row>
    <row r="941" ht="12.75">
      <c r="P941" s="364"/>
    </row>
  </sheetData>
  <mergeCells count="7">
    <mergeCell ref="P26:P27"/>
    <mergeCell ref="C3:H3"/>
    <mergeCell ref="I3:L3"/>
    <mergeCell ref="A4:A5"/>
    <mergeCell ref="B4:B5"/>
    <mergeCell ref="C4:G4"/>
    <mergeCell ref="I4:L4"/>
  </mergeCells>
  <printOptions/>
  <pageMargins left="0.1968503937007874" right="0.1968503937007874" top="0.7874015748031497" bottom="0" header="0" footer="0"/>
  <pageSetup firstPageNumber="77" useFirstPageNumber="1" horizontalDpi="120" verticalDpi="120" orientation="landscape" paperSize="9" scale="89" r:id="rId1"/>
  <headerFooter alignWithMargins="0">
    <oddHeader>&amp;C
</oddHeader>
  </headerFooter>
  <rowBreaks count="2" manualBreakCount="2">
    <brk id="33" max="21" man="1"/>
    <brk id="5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8"/>
  <dimension ref="A1:AB274"/>
  <sheetViews>
    <sheetView showZeros="0" tabSelected="1" zoomScale="70" zoomScaleNormal="70" zoomScaleSheetLayoutView="75" workbookViewId="0" topLeftCell="A1">
      <selection activeCell="A1" sqref="A1:T2"/>
    </sheetView>
  </sheetViews>
  <sheetFormatPr defaultColWidth="9.00390625" defaultRowHeight="12.75"/>
  <cols>
    <col min="1" max="1" width="3.375" style="39" customWidth="1"/>
    <col min="2" max="2" width="27.00390625" style="39" customWidth="1"/>
    <col min="3" max="3" width="4.00390625" style="39" customWidth="1"/>
    <col min="4" max="4" width="3.875" style="39" customWidth="1"/>
    <col min="5" max="5" width="7.25390625" style="39" customWidth="1"/>
    <col min="6" max="6" width="7.875" style="39" customWidth="1"/>
    <col min="7" max="7" width="3.375" style="39" customWidth="1"/>
    <col min="8" max="8" width="4.75390625" style="39" customWidth="1"/>
    <col min="9" max="9" width="6.625" style="39" customWidth="1"/>
    <col min="10" max="10" width="7.00390625" style="39" customWidth="1"/>
    <col min="11" max="11" width="4.625" style="39" customWidth="1"/>
    <col min="12" max="12" width="5.00390625" style="39" customWidth="1"/>
    <col min="13" max="13" width="7.25390625" style="39" customWidth="1"/>
    <col min="14" max="14" width="7.00390625" style="39" customWidth="1"/>
    <col min="15" max="15" width="7.375" style="39" customWidth="1"/>
    <col min="16" max="16" width="7.625" style="39" customWidth="1"/>
    <col min="17" max="17" width="10.00390625" style="39" customWidth="1"/>
    <col min="18" max="18" width="0.37109375" style="39" hidden="1" customWidth="1"/>
    <col min="19" max="19" width="0.12890625" style="39" hidden="1" customWidth="1"/>
    <col min="20" max="20" width="9.875" style="39" customWidth="1"/>
    <col min="21" max="21" width="10.75390625" style="431" customWidth="1"/>
    <col min="22" max="22" width="10.75390625" style="21" customWidth="1"/>
    <col min="23" max="23" width="34.00390625" style="21" customWidth="1"/>
    <col min="24" max="24" width="18.375" style="39" customWidth="1"/>
    <col min="25" max="16384" width="9.125" style="39" customWidth="1"/>
  </cols>
  <sheetData>
    <row r="1" spans="1:20" ht="15.75" customHeight="1">
      <c r="A1" s="1947" t="s">
        <v>1285</v>
      </c>
      <c r="B1" s="1947"/>
      <c r="C1" s="1947"/>
      <c r="D1" s="1947"/>
      <c r="E1" s="1947"/>
      <c r="F1" s="1947"/>
      <c r="G1" s="1947"/>
      <c r="H1" s="1947"/>
      <c r="I1" s="1947"/>
      <c r="J1" s="1947"/>
      <c r="K1" s="1947"/>
      <c r="L1" s="1947"/>
      <c r="M1" s="1947"/>
      <c r="N1" s="1947"/>
      <c r="O1" s="1947"/>
      <c r="P1" s="1947"/>
      <c r="Q1" s="1947"/>
      <c r="R1" s="1947"/>
      <c r="S1" s="1947"/>
      <c r="T1" s="1947"/>
    </row>
    <row r="2" spans="1:20" ht="15.75" customHeight="1">
      <c r="A2" s="1947"/>
      <c r="B2" s="1947"/>
      <c r="C2" s="1947"/>
      <c r="D2" s="1947"/>
      <c r="E2" s="1947"/>
      <c r="F2" s="1947"/>
      <c r="G2" s="1947"/>
      <c r="H2" s="1947"/>
      <c r="I2" s="1947"/>
      <c r="J2" s="1947"/>
      <c r="K2" s="1947"/>
      <c r="L2" s="1947"/>
      <c r="M2" s="1947"/>
      <c r="N2" s="1947"/>
      <c r="O2" s="1947"/>
      <c r="P2" s="1947"/>
      <c r="Q2" s="1947"/>
      <c r="R2" s="1947"/>
      <c r="S2" s="1947"/>
      <c r="T2" s="1947"/>
    </row>
    <row r="3" spans="1:20" ht="18.75" customHeight="1">
      <c r="A3" s="1948" t="s">
        <v>72</v>
      </c>
      <c r="B3" s="1948"/>
      <c r="C3" s="1948"/>
      <c r="D3" s="1948"/>
      <c r="E3" s="1948"/>
      <c r="F3" s="1948"/>
      <c r="G3" s="1948"/>
      <c r="H3" s="1948"/>
      <c r="I3" s="1948"/>
      <c r="J3" s="1948"/>
      <c r="K3" s="1948"/>
      <c r="L3" s="1948"/>
      <c r="M3" s="1948"/>
      <c r="N3" s="1948"/>
      <c r="O3" s="1948"/>
      <c r="P3" s="1948"/>
      <c r="Q3" s="1948"/>
      <c r="R3" s="1948"/>
      <c r="S3" s="1948"/>
      <c r="T3" s="1948"/>
    </row>
    <row r="4" spans="1:20" ht="18.75" customHeight="1">
      <c r="A4" s="1948"/>
      <c r="B4" s="1948"/>
      <c r="C4" s="1948"/>
      <c r="D4" s="1948"/>
      <c r="E4" s="1948"/>
      <c r="F4" s="1948"/>
      <c r="G4" s="1948"/>
      <c r="H4" s="1948"/>
      <c r="I4" s="1948"/>
      <c r="J4" s="1948"/>
      <c r="K4" s="1948"/>
      <c r="L4" s="1948"/>
      <c r="M4" s="1948"/>
      <c r="N4" s="1948"/>
      <c r="O4" s="1948"/>
      <c r="P4" s="1948"/>
      <c r="Q4" s="1948"/>
      <c r="R4" s="1948"/>
      <c r="S4" s="1948"/>
      <c r="T4" s="1948"/>
    </row>
    <row r="5" spans="1:20" ht="18.75" customHeight="1" thickBot="1">
      <c r="A5" s="33"/>
      <c r="T5" s="106" t="s">
        <v>1039</v>
      </c>
    </row>
    <row r="6" spans="1:28" ht="13.5" customHeight="1" thickBot="1">
      <c r="A6" s="715"/>
      <c r="B6" s="715"/>
      <c r="C6" s="1949" t="s">
        <v>1035</v>
      </c>
      <c r="D6" s="1950"/>
      <c r="E6" s="1950"/>
      <c r="F6" s="1950"/>
      <c r="G6" s="1950"/>
      <c r="H6" s="1950"/>
      <c r="I6" s="1950"/>
      <c r="J6" s="1950"/>
      <c r="K6" s="1950"/>
      <c r="L6" s="1950"/>
      <c r="M6" s="1950"/>
      <c r="N6" s="1950"/>
      <c r="O6" s="1951"/>
      <c r="P6" s="1362" t="s">
        <v>1261</v>
      </c>
      <c r="Q6" s="1362"/>
      <c r="R6" s="1363"/>
      <c r="S6" s="1363"/>
      <c r="T6" s="1364"/>
      <c r="U6" s="1365"/>
      <c r="V6" s="1365"/>
      <c r="W6" s="1365"/>
      <c r="X6" s="1365"/>
      <c r="Y6" s="1365"/>
      <c r="Z6" s="1365"/>
      <c r="AA6" s="1365"/>
      <c r="AB6" s="1365"/>
    </row>
    <row r="7" spans="1:23" s="182" customFormat="1" ht="13.5" customHeight="1" thickBot="1">
      <c r="A7" s="1852" t="s">
        <v>316</v>
      </c>
      <c r="B7" s="1852" t="s">
        <v>317</v>
      </c>
      <c r="C7" s="1841" t="s">
        <v>782</v>
      </c>
      <c r="D7" s="1842"/>
      <c r="E7" s="1842"/>
      <c r="F7" s="1843"/>
      <c r="G7" s="1841" t="s">
        <v>1775</v>
      </c>
      <c r="H7" s="1842"/>
      <c r="I7" s="1842"/>
      <c r="J7" s="1843"/>
      <c r="K7" s="1841" t="s">
        <v>784</v>
      </c>
      <c r="L7" s="1842"/>
      <c r="M7" s="1842"/>
      <c r="N7" s="1843"/>
      <c r="O7" s="863" t="s">
        <v>1773</v>
      </c>
      <c r="P7" s="865" t="s">
        <v>334</v>
      </c>
      <c r="Q7" s="755" t="s">
        <v>265</v>
      </c>
      <c r="R7" s="745"/>
      <c r="S7" s="745"/>
      <c r="T7" s="714" t="s">
        <v>1415</v>
      </c>
      <c r="U7" s="434"/>
      <c r="V7" s="273"/>
      <c r="W7" s="273"/>
    </row>
    <row r="8" spans="1:23" s="182" customFormat="1" ht="13.5" customHeight="1" thickBot="1">
      <c r="A8" s="1866"/>
      <c r="B8" s="1866"/>
      <c r="C8" s="271" t="s">
        <v>1771</v>
      </c>
      <c r="D8" s="179" t="s">
        <v>318</v>
      </c>
      <c r="E8" s="272" t="s">
        <v>785</v>
      </c>
      <c r="F8" s="179" t="s">
        <v>778</v>
      </c>
      <c r="G8" s="271" t="s">
        <v>1771</v>
      </c>
      <c r="H8" s="179" t="s">
        <v>1772</v>
      </c>
      <c r="I8" s="272" t="s">
        <v>785</v>
      </c>
      <c r="J8" s="271" t="s">
        <v>778</v>
      </c>
      <c r="K8" s="271" t="s">
        <v>1771</v>
      </c>
      <c r="L8" s="179" t="s">
        <v>1772</v>
      </c>
      <c r="M8" s="272" t="s">
        <v>785</v>
      </c>
      <c r="N8" s="179" t="s">
        <v>778</v>
      </c>
      <c r="O8" s="864" t="s">
        <v>335</v>
      </c>
      <c r="P8" s="644" t="s">
        <v>335</v>
      </c>
      <c r="Q8" s="209" t="s">
        <v>1364</v>
      </c>
      <c r="R8" s="177" t="s">
        <v>70</v>
      </c>
      <c r="S8" s="272" t="s">
        <v>71</v>
      </c>
      <c r="T8" s="181"/>
      <c r="U8" s="434"/>
      <c r="V8" s="273"/>
      <c r="W8" s="273"/>
    </row>
    <row r="9" spans="1:23" s="189" customFormat="1" ht="14.25" customHeight="1">
      <c r="A9" s="976"/>
      <c r="B9" s="975" t="s">
        <v>367</v>
      </c>
      <c r="C9" s="190"/>
      <c r="D9" s="190"/>
      <c r="E9" s="242"/>
      <c r="F9" s="236"/>
      <c r="G9" s="190"/>
      <c r="H9" s="190"/>
      <c r="I9" s="242"/>
      <c r="J9" s="242"/>
      <c r="K9" s="262"/>
      <c r="L9" s="190"/>
      <c r="M9" s="242"/>
      <c r="N9" s="242"/>
      <c r="O9" s="242"/>
      <c r="P9" s="242"/>
      <c r="Q9" s="236"/>
      <c r="R9" s="190"/>
      <c r="S9" s="262"/>
      <c r="T9" s="191"/>
      <c r="U9" s="435"/>
      <c r="V9" s="190"/>
      <c r="W9" s="190"/>
    </row>
    <row r="10" spans="1:23" s="189" customFormat="1" ht="15" customHeight="1">
      <c r="A10" s="248">
        <v>1</v>
      </c>
      <c r="B10" s="190" t="s">
        <v>540</v>
      </c>
      <c r="C10" s="262">
        <v>4</v>
      </c>
      <c r="D10" s="190">
        <v>2</v>
      </c>
      <c r="E10" s="242">
        <v>1100</v>
      </c>
      <c r="F10" s="236">
        <f>C10*D10*E10</f>
        <v>8800</v>
      </c>
      <c r="G10" s="190">
        <v>4</v>
      </c>
      <c r="H10" s="190">
        <v>3</v>
      </c>
      <c r="I10" s="190">
        <v>300</v>
      </c>
      <c r="J10" s="236">
        <f>G10*H10*I10</f>
        <v>3600</v>
      </c>
      <c r="K10" s="190">
        <v>4</v>
      </c>
      <c r="L10" s="190">
        <v>4</v>
      </c>
      <c r="M10" s="190">
        <v>180</v>
      </c>
      <c r="N10" s="236">
        <f>K10*L10*M10</f>
        <v>2880</v>
      </c>
      <c r="O10" s="236"/>
      <c r="P10" s="236"/>
      <c r="Q10" s="243">
        <f>F10+J10+N10+N11</f>
        <v>16880</v>
      </c>
      <c r="R10" s="242"/>
      <c r="S10" s="262"/>
      <c r="T10" s="191"/>
      <c r="U10" s="435"/>
      <c r="V10" s="190"/>
      <c r="W10" s="190"/>
    </row>
    <row r="11" spans="1:23" s="189" customFormat="1" ht="12">
      <c r="A11" s="326"/>
      <c r="B11" s="190" t="s">
        <v>1291</v>
      </c>
      <c r="C11" s="514"/>
      <c r="D11" s="327"/>
      <c r="E11" s="327"/>
      <c r="F11" s="238"/>
      <c r="G11" s="327"/>
      <c r="H11" s="327"/>
      <c r="I11" s="327"/>
      <c r="J11" s="238"/>
      <c r="K11" s="327">
        <v>4</v>
      </c>
      <c r="L11" s="327">
        <v>4</v>
      </c>
      <c r="M11" s="327">
        <v>100</v>
      </c>
      <c r="N11" s="238">
        <f>K11*L11*M11</f>
        <v>1600</v>
      </c>
      <c r="O11" s="238"/>
      <c r="P11" s="238"/>
      <c r="Q11" s="331"/>
      <c r="R11" s="190"/>
      <c r="S11" s="190"/>
      <c r="T11" s="191"/>
      <c r="U11" s="435"/>
      <c r="V11" s="190"/>
      <c r="W11" s="190"/>
    </row>
    <row r="12" spans="1:23" s="189" customFormat="1" ht="12" hidden="1">
      <c r="A12" s="24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277"/>
      <c r="R12" s="190"/>
      <c r="S12" s="190"/>
      <c r="T12" s="191"/>
      <c r="U12" s="435"/>
      <c r="V12" s="190"/>
      <c r="W12" s="190"/>
    </row>
    <row r="13" spans="1:21" s="190" customFormat="1" ht="24" customHeight="1">
      <c r="A13" s="248">
        <v>2</v>
      </c>
      <c r="B13" s="265" t="s">
        <v>1295</v>
      </c>
      <c r="C13" s="266">
        <v>2</v>
      </c>
      <c r="D13" s="266">
        <v>2</v>
      </c>
      <c r="E13" s="266">
        <v>3100</v>
      </c>
      <c r="F13" s="264">
        <f>C13*D13*E13</f>
        <v>12400</v>
      </c>
      <c r="G13" s="266">
        <v>0</v>
      </c>
      <c r="H13" s="266">
        <v>0</v>
      </c>
      <c r="I13" s="266">
        <v>0</v>
      </c>
      <c r="J13" s="264">
        <f>G13*H13*I13</f>
        <v>0</v>
      </c>
      <c r="K13" s="266">
        <v>2</v>
      </c>
      <c r="L13" s="266">
        <v>2</v>
      </c>
      <c r="M13" s="266">
        <v>100</v>
      </c>
      <c r="N13" s="264">
        <f>K13*L13*M13</f>
        <v>400</v>
      </c>
      <c r="O13" s="264"/>
      <c r="P13" s="264"/>
      <c r="Q13" s="307">
        <f>SUM(F13,J13,N13)</f>
        <v>12800</v>
      </c>
      <c r="S13" s="262"/>
      <c r="T13" s="191" t="s">
        <v>541</v>
      </c>
      <c r="U13" s="435" t="s">
        <v>318</v>
      </c>
    </row>
    <row r="14" spans="1:21" s="190" customFormat="1" ht="12">
      <c r="A14" s="249">
        <v>3</v>
      </c>
      <c r="B14" s="250" t="s">
        <v>464</v>
      </c>
      <c r="C14" s="251"/>
      <c r="D14" s="251"/>
      <c r="E14" s="250"/>
      <c r="F14" s="250"/>
      <c r="G14" s="251">
        <v>3</v>
      </c>
      <c r="H14" s="251">
        <v>15</v>
      </c>
      <c r="I14" s="250">
        <v>300</v>
      </c>
      <c r="J14" s="250">
        <f>G14*H14*I14</f>
        <v>13500</v>
      </c>
      <c r="K14" s="251">
        <v>3</v>
      </c>
      <c r="L14" s="251">
        <v>15</v>
      </c>
      <c r="M14" s="251">
        <v>180</v>
      </c>
      <c r="N14" s="252">
        <f>K14*L14*M14</f>
        <v>8100</v>
      </c>
      <c r="O14" s="250"/>
      <c r="P14" s="250"/>
      <c r="Q14" s="1942">
        <f>SUM(F14:F16,J14:J16,N14:N16)</f>
        <v>24600</v>
      </c>
      <c r="S14" s="262"/>
      <c r="T14" s="191"/>
      <c r="U14" s="435" t="s">
        <v>318</v>
      </c>
    </row>
    <row r="15" spans="1:21" s="190" customFormat="1" ht="24.75" customHeight="1">
      <c r="A15" s="248"/>
      <c r="B15" s="242" t="s">
        <v>1774</v>
      </c>
      <c r="C15" s="190" t="s">
        <v>318</v>
      </c>
      <c r="E15" s="242"/>
      <c r="F15" s="242"/>
      <c r="G15" s="244" t="s">
        <v>318</v>
      </c>
      <c r="I15" s="242"/>
      <c r="J15" s="242"/>
      <c r="K15" s="190">
        <v>2</v>
      </c>
      <c r="L15" s="190">
        <v>15</v>
      </c>
      <c r="M15" s="190">
        <v>50</v>
      </c>
      <c r="N15" s="236">
        <f>K15*L15*M15</f>
        <v>1500</v>
      </c>
      <c r="O15" s="242"/>
      <c r="P15" s="242"/>
      <c r="Q15" s="1943"/>
      <c r="S15" s="262"/>
      <c r="T15" s="191"/>
      <c r="U15" s="435"/>
    </row>
    <row r="16" spans="1:21" s="190" customFormat="1" ht="12">
      <c r="A16" s="326" t="s">
        <v>318</v>
      </c>
      <c r="B16" s="261" t="s">
        <v>463</v>
      </c>
      <c r="C16" s="327"/>
      <c r="D16" s="327"/>
      <c r="E16" s="261"/>
      <c r="F16" s="261">
        <f>C16*D16*E16</f>
        <v>0</v>
      </c>
      <c r="G16" s="327"/>
      <c r="H16" s="327"/>
      <c r="I16" s="261"/>
      <c r="J16" s="261"/>
      <c r="K16" s="327">
        <v>3</v>
      </c>
      <c r="L16" s="327">
        <v>5</v>
      </c>
      <c r="M16" s="327">
        <v>100</v>
      </c>
      <c r="N16" s="236">
        <f>K16*L16*M16</f>
        <v>1500</v>
      </c>
      <c r="O16" s="261"/>
      <c r="P16" s="261"/>
      <c r="Q16" s="261" t="s">
        <v>318</v>
      </c>
      <c r="S16" s="262"/>
      <c r="T16" s="191"/>
      <c r="U16" s="435"/>
    </row>
    <row r="17" spans="1:21" s="190" customFormat="1" ht="23.25" customHeight="1">
      <c r="A17" s="274">
        <v>4</v>
      </c>
      <c r="B17" s="265" t="s">
        <v>58</v>
      </c>
      <c r="C17" s="266"/>
      <c r="D17" s="266"/>
      <c r="E17" s="1211"/>
      <c r="F17" s="264"/>
      <c r="G17" s="266">
        <v>1</v>
      </c>
      <c r="H17" s="266">
        <v>3</v>
      </c>
      <c r="I17" s="265">
        <v>550</v>
      </c>
      <c r="J17" s="265">
        <f>G17*H17*I17</f>
        <v>1650</v>
      </c>
      <c r="K17" s="266">
        <v>1</v>
      </c>
      <c r="L17" s="266">
        <v>6</v>
      </c>
      <c r="M17" s="266">
        <v>180</v>
      </c>
      <c r="N17" s="264">
        <f aca="true" t="shared" si="0" ref="N17:N23">K17*L17*M17</f>
        <v>1080</v>
      </c>
      <c r="O17" s="264"/>
      <c r="P17" s="264"/>
      <c r="Q17" s="307">
        <f>F17+J17+N17</f>
        <v>2730</v>
      </c>
      <c r="S17" s="262"/>
      <c r="T17" s="191"/>
      <c r="U17" s="435" t="s">
        <v>318</v>
      </c>
    </row>
    <row r="18" spans="1:21" s="190" customFormat="1" ht="12">
      <c r="A18" s="248">
        <v>5</v>
      </c>
      <c r="B18" s="242" t="s">
        <v>345</v>
      </c>
      <c r="C18" s="190">
        <v>6</v>
      </c>
      <c r="D18" s="190">
        <v>2</v>
      </c>
      <c r="E18" s="190">
        <v>203</v>
      </c>
      <c r="F18" s="236">
        <f>C18*D18*E18</f>
        <v>2436</v>
      </c>
      <c r="G18" s="190">
        <v>5</v>
      </c>
      <c r="H18" s="190">
        <v>2</v>
      </c>
      <c r="I18" s="242">
        <v>300</v>
      </c>
      <c r="J18" s="242">
        <f>G18*H18*I18</f>
        <v>3000</v>
      </c>
      <c r="K18" s="190">
        <v>6</v>
      </c>
      <c r="L18" s="190">
        <v>1.67</v>
      </c>
      <c r="M18" s="190">
        <v>180</v>
      </c>
      <c r="N18" s="236">
        <f>K18*L18*M18</f>
        <v>1803.6</v>
      </c>
      <c r="O18" s="236"/>
      <c r="P18" s="236"/>
      <c r="Q18" s="1942">
        <f>F18+J18+N18+N19</f>
        <v>7840</v>
      </c>
      <c r="S18" s="262"/>
      <c r="T18" s="191"/>
      <c r="U18" s="435" t="s">
        <v>318</v>
      </c>
    </row>
    <row r="19" spans="1:21" s="190" customFormat="1" ht="12">
      <c r="A19" s="326"/>
      <c r="B19" s="261" t="s">
        <v>736</v>
      </c>
      <c r="C19" s="327"/>
      <c r="D19" s="327"/>
      <c r="E19" s="327"/>
      <c r="F19" s="238"/>
      <c r="G19" s="327"/>
      <c r="H19" s="327"/>
      <c r="I19" s="261"/>
      <c r="J19" s="238"/>
      <c r="K19" s="327">
        <v>6</v>
      </c>
      <c r="L19" s="327">
        <v>1</v>
      </c>
      <c r="M19" s="327">
        <v>100</v>
      </c>
      <c r="N19" s="238">
        <f t="shared" si="0"/>
        <v>600</v>
      </c>
      <c r="O19" s="238"/>
      <c r="P19" s="238"/>
      <c r="Q19" s="1944"/>
      <c r="R19" s="327"/>
      <c r="S19" s="514"/>
      <c r="T19" s="263"/>
      <c r="U19" s="435" t="s">
        <v>318</v>
      </c>
    </row>
    <row r="20" spans="1:21" s="190" customFormat="1" ht="16.5" customHeight="1">
      <c r="A20" s="249">
        <v>6</v>
      </c>
      <c r="B20" s="250" t="s">
        <v>344</v>
      </c>
      <c r="C20" s="251">
        <v>6</v>
      </c>
      <c r="D20" s="251">
        <v>2</v>
      </c>
      <c r="E20" s="251">
        <v>200</v>
      </c>
      <c r="F20" s="252">
        <f>C20*D20*E20</f>
        <v>2400</v>
      </c>
      <c r="G20" s="251">
        <v>6</v>
      </c>
      <c r="H20" s="251">
        <v>2</v>
      </c>
      <c r="I20" s="251">
        <v>300</v>
      </c>
      <c r="J20" s="252">
        <f>G20*H20*I20</f>
        <v>3600</v>
      </c>
      <c r="K20" s="251">
        <v>6</v>
      </c>
      <c r="L20" s="251">
        <v>2</v>
      </c>
      <c r="M20" s="251">
        <v>180</v>
      </c>
      <c r="N20" s="252">
        <f>K20*L20*M20</f>
        <v>2160</v>
      </c>
      <c r="O20" s="252"/>
      <c r="P20" s="252"/>
      <c r="Q20" s="252">
        <f>F20+J20+N20+N21</f>
        <v>8760</v>
      </c>
      <c r="S20" s="262"/>
      <c r="T20" s="191"/>
      <c r="U20" s="435" t="s">
        <v>318</v>
      </c>
    </row>
    <row r="21" spans="1:21" s="190" customFormat="1" ht="11.25" customHeight="1">
      <c r="A21" s="326"/>
      <c r="B21" s="261"/>
      <c r="C21" s="327"/>
      <c r="D21" s="327"/>
      <c r="E21" s="327" t="s">
        <v>1395</v>
      </c>
      <c r="F21" s="238"/>
      <c r="G21" s="327"/>
      <c r="H21" s="327"/>
      <c r="I21" s="327"/>
      <c r="J21" s="238">
        <f>G21*H21*I21</f>
        <v>0</v>
      </c>
      <c r="K21" s="327">
        <v>6</v>
      </c>
      <c r="L21" s="327">
        <v>1</v>
      </c>
      <c r="M21" s="327">
        <v>100</v>
      </c>
      <c r="N21" s="238">
        <f>K21*L21*M21</f>
        <v>600</v>
      </c>
      <c r="O21" s="238"/>
      <c r="P21" s="238"/>
      <c r="Q21" s="238"/>
      <c r="S21" s="262"/>
      <c r="T21" s="191"/>
      <c r="U21" s="435"/>
    </row>
    <row r="22" spans="1:21" s="190" customFormat="1" ht="16.5" customHeight="1">
      <c r="A22" s="248">
        <v>7</v>
      </c>
      <c r="B22" s="242" t="s">
        <v>336</v>
      </c>
      <c r="C22" s="190">
        <v>1</v>
      </c>
      <c r="D22" s="190">
        <v>2</v>
      </c>
      <c r="E22" s="190">
        <v>600</v>
      </c>
      <c r="F22" s="236">
        <f>C22*D22*E22</f>
        <v>1200</v>
      </c>
      <c r="G22" s="190">
        <v>1</v>
      </c>
      <c r="H22" s="190">
        <v>2</v>
      </c>
      <c r="I22" s="242">
        <v>400</v>
      </c>
      <c r="J22" s="236">
        <f>G22*H22*I22</f>
        <v>800</v>
      </c>
      <c r="K22" s="190">
        <v>1</v>
      </c>
      <c r="L22" s="190">
        <v>1</v>
      </c>
      <c r="M22" s="190">
        <v>180</v>
      </c>
      <c r="N22" s="236">
        <f>K22*L22*M22</f>
        <v>180</v>
      </c>
      <c r="O22" s="236"/>
      <c r="P22" s="236"/>
      <c r="Q22" s="243">
        <f>F22+J22+N22+N23</f>
        <v>2580</v>
      </c>
      <c r="S22" s="262"/>
      <c r="T22" s="191"/>
      <c r="U22" s="435"/>
    </row>
    <row r="23" spans="1:21" s="190" customFormat="1" ht="12">
      <c r="A23" s="248"/>
      <c r="B23" s="242" t="s">
        <v>735</v>
      </c>
      <c r="F23" s="236"/>
      <c r="J23" s="236"/>
      <c r="K23" s="190">
        <v>1</v>
      </c>
      <c r="L23" s="190">
        <v>4</v>
      </c>
      <c r="M23" s="190">
        <v>100</v>
      </c>
      <c r="N23" s="236">
        <f t="shared" si="0"/>
        <v>400</v>
      </c>
      <c r="O23" s="236"/>
      <c r="P23" s="236"/>
      <c r="Q23" s="236"/>
      <c r="S23" s="262"/>
      <c r="T23" s="191"/>
      <c r="U23" s="435"/>
    </row>
    <row r="24" spans="1:23" s="189" customFormat="1" ht="27" customHeight="1">
      <c r="A24" s="248">
        <v>8</v>
      </c>
      <c r="B24" s="250" t="s">
        <v>461</v>
      </c>
      <c r="C24" s="251">
        <v>3</v>
      </c>
      <c r="D24" s="251">
        <v>2</v>
      </c>
      <c r="E24" s="1212">
        <v>508</v>
      </c>
      <c r="F24" s="257">
        <f>C24*D24*E24</f>
        <v>3048</v>
      </c>
      <c r="G24" s="251">
        <v>3</v>
      </c>
      <c r="H24" s="251">
        <v>18</v>
      </c>
      <c r="I24" s="1212">
        <v>370</v>
      </c>
      <c r="J24" s="252">
        <f>G24*H24*I24</f>
        <v>19980</v>
      </c>
      <c r="K24" s="251">
        <v>3</v>
      </c>
      <c r="L24" s="251">
        <v>2</v>
      </c>
      <c r="M24" s="250">
        <v>100</v>
      </c>
      <c r="N24" s="252">
        <f>K24*L24*M24</f>
        <v>600</v>
      </c>
      <c r="O24" s="252"/>
      <c r="P24" s="250"/>
      <c r="Q24" s="253">
        <f>F24+J24+J25+N24+N25</f>
        <v>49548</v>
      </c>
      <c r="R24" s="190"/>
      <c r="S24" s="262"/>
      <c r="T24" s="191"/>
      <c r="U24" s="435"/>
      <c r="V24" s="190"/>
      <c r="W24" s="190"/>
    </row>
    <row r="25" spans="1:23" s="189" customFormat="1" ht="12.75" customHeight="1" thickBot="1">
      <c r="A25" s="248"/>
      <c r="B25" s="242" t="s">
        <v>318</v>
      </c>
      <c r="C25" s="190"/>
      <c r="D25" s="190"/>
      <c r="E25" s="190"/>
      <c r="F25" s="236"/>
      <c r="G25" s="190">
        <v>3</v>
      </c>
      <c r="H25" s="190">
        <v>18</v>
      </c>
      <c r="I25" s="190">
        <v>300</v>
      </c>
      <c r="J25" s="236">
        <f>G25*H25*I25</f>
        <v>16200</v>
      </c>
      <c r="K25" s="190">
        <v>3</v>
      </c>
      <c r="L25" s="190">
        <v>18</v>
      </c>
      <c r="M25" s="242">
        <v>180</v>
      </c>
      <c r="N25" s="1213">
        <f>K25*L25*M25</f>
        <v>9720</v>
      </c>
      <c r="O25" s="1213"/>
      <c r="P25" s="242"/>
      <c r="Q25" s="242"/>
      <c r="R25" s="190"/>
      <c r="S25" s="262"/>
      <c r="T25" s="191"/>
      <c r="U25" s="435"/>
      <c r="V25" s="190"/>
      <c r="W25" s="190"/>
    </row>
    <row r="26" spans="1:25" s="784" customFormat="1" ht="12.75" customHeight="1" thickBot="1">
      <c r="A26" s="775"/>
      <c r="B26" s="777" t="s">
        <v>1783</v>
      </c>
      <c r="C26" s="776"/>
      <c r="D26" s="776"/>
      <c r="E26" s="777"/>
      <c r="F26" s="778">
        <f>SUM(F10:F25)</f>
        <v>30284</v>
      </c>
      <c r="G26" s="776"/>
      <c r="H26" s="776"/>
      <c r="I26" s="777"/>
      <c r="J26" s="779">
        <f>SUM(J10:J25)</f>
        <v>62330</v>
      </c>
      <c r="K26" s="776"/>
      <c r="L26" s="776"/>
      <c r="M26" s="777"/>
      <c r="N26" s="778">
        <f>SUM(N10:N25)</f>
        <v>33124</v>
      </c>
      <c r="O26" s="778">
        <f>SUM(O10:O25)</f>
        <v>0</v>
      </c>
      <c r="P26" s="778"/>
      <c r="Q26" s="778">
        <f>SUM(Q9:Q25)</f>
        <v>125738</v>
      </c>
      <c r="R26" s="780">
        <f>SUM(R10:R25)</f>
        <v>0</v>
      </c>
      <c r="S26" s="781">
        <f>SUM(S10:S25)</f>
        <v>0</v>
      </c>
      <c r="T26" s="758"/>
      <c r="U26" s="782" t="s">
        <v>318</v>
      </c>
      <c r="V26" s="822">
        <f>SUM(F26:P26)</f>
        <v>125738</v>
      </c>
      <c r="W26" s="783"/>
      <c r="Y26" s="785"/>
    </row>
    <row r="27" spans="1:23" s="189" customFormat="1" ht="12">
      <c r="A27" s="248"/>
      <c r="B27" s="975" t="s">
        <v>1784</v>
      </c>
      <c r="C27" s="262"/>
      <c r="D27" s="190"/>
      <c r="E27" s="190"/>
      <c r="F27" s="236"/>
      <c r="G27" s="190"/>
      <c r="H27" s="190"/>
      <c r="I27" s="190"/>
      <c r="J27" s="236"/>
      <c r="K27" s="190"/>
      <c r="L27" s="190"/>
      <c r="M27" s="190"/>
      <c r="N27" s="236"/>
      <c r="O27" s="236"/>
      <c r="P27" s="236"/>
      <c r="Q27" s="236"/>
      <c r="R27" s="190"/>
      <c r="S27" s="262"/>
      <c r="T27" s="191"/>
      <c r="U27" s="435"/>
      <c r="V27" s="190"/>
      <c r="W27" s="190"/>
    </row>
    <row r="28" spans="1:23" s="189" customFormat="1" ht="24">
      <c r="A28" s="326">
        <v>1</v>
      </c>
      <c r="B28" s="261" t="s">
        <v>1293</v>
      </c>
      <c r="C28" s="327">
        <v>3</v>
      </c>
      <c r="D28" s="327">
        <v>2</v>
      </c>
      <c r="E28" s="261">
        <v>400</v>
      </c>
      <c r="F28" s="331">
        <f>C28*D28*E28</f>
        <v>2400</v>
      </c>
      <c r="G28" s="327">
        <v>3</v>
      </c>
      <c r="H28" s="327">
        <v>6</v>
      </c>
      <c r="I28" s="261">
        <v>420</v>
      </c>
      <c r="J28" s="238">
        <f>G28*H28*I28</f>
        <v>7560</v>
      </c>
      <c r="K28" s="327">
        <v>3</v>
      </c>
      <c r="L28" s="327">
        <v>9</v>
      </c>
      <c r="M28" s="261">
        <v>180</v>
      </c>
      <c r="N28" s="331">
        <f aca="true" t="shared" si="1" ref="N28:N38">K28*L28*M28</f>
        <v>4860</v>
      </c>
      <c r="O28" s="238"/>
      <c r="P28" s="238"/>
      <c r="Q28" s="331">
        <f>F28+J28+N28</f>
        <v>14820</v>
      </c>
      <c r="R28" s="190"/>
      <c r="S28" s="190"/>
      <c r="T28" s="191"/>
      <c r="U28" s="435" t="s">
        <v>318</v>
      </c>
      <c r="V28" s="190"/>
      <c r="W28" s="190"/>
    </row>
    <row r="29" spans="1:23" s="189" customFormat="1" ht="24">
      <c r="A29" s="274">
        <v>2</v>
      </c>
      <c r="B29" s="242" t="s">
        <v>260</v>
      </c>
      <c r="C29" s="190">
        <v>9</v>
      </c>
      <c r="D29" s="190">
        <v>2</v>
      </c>
      <c r="E29" s="242">
        <v>500</v>
      </c>
      <c r="F29" s="236">
        <f>C29*D29*E29</f>
        <v>9000</v>
      </c>
      <c r="G29" s="190"/>
      <c r="H29" s="190"/>
      <c r="I29" s="242"/>
      <c r="J29" s="238"/>
      <c r="K29" s="190">
        <v>9</v>
      </c>
      <c r="L29" s="190">
        <v>4</v>
      </c>
      <c r="M29" s="242">
        <v>180</v>
      </c>
      <c r="N29" s="236">
        <f t="shared" si="1"/>
        <v>6480</v>
      </c>
      <c r="O29" s="264"/>
      <c r="P29" s="238"/>
      <c r="Q29" s="331">
        <f>F29+J29+N29</f>
        <v>15480</v>
      </c>
      <c r="R29" s="190"/>
      <c r="S29" s="190"/>
      <c r="T29" s="191"/>
      <c r="U29" s="435" t="s">
        <v>318</v>
      </c>
      <c r="V29" s="190"/>
      <c r="W29" s="190"/>
    </row>
    <row r="30" spans="1:23" s="189" customFormat="1" ht="23.25" customHeight="1">
      <c r="A30" s="249">
        <v>3</v>
      </c>
      <c r="B30" s="242" t="s">
        <v>1701</v>
      </c>
      <c r="C30" s="190">
        <v>2</v>
      </c>
      <c r="D30" s="190">
        <v>2</v>
      </c>
      <c r="E30" s="190">
        <v>1900</v>
      </c>
      <c r="F30" s="252">
        <f>C30*D30*E30</f>
        <v>7600</v>
      </c>
      <c r="G30" s="190"/>
      <c r="H30" s="190"/>
      <c r="I30" s="190"/>
      <c r="J30" s="262">
        <f>G30*H30*I30</f>
        <v>0</v>
      </c>
      <c r="K30" s="262">
        <v>2</v>
      </c>
      <c r="L30" s="190">
        <v>6</v>
      </c>
      <c r="M30" s="242">
        <v>100</v>
      </c>
      <c r="N30" s="252">
        <f t="shared" si="1"/>
        <v>1200</v>
      </c>
      <c r="O30" s="252" t="s">
        <v>318</v>
      </c>
      <c r="P30" s="252"/>
      <c r="Q30" s="257">
        <f>SUM(F30,J30,N30:N31)</f>
        <v>9880</v>
      </c>
      <c r="R30" s="190"/>
      <c r="S30" s="262"/>
      <c r="T30" s="191"/>
      <c r="U30" s="666" t="s">
        <v>318</v>
      </c>
      <c r="V30" s="190"/>
      <c r="W30" s="190"/>
    </row>
    <row r="31" spans="1:23" s="189" customFormat="1" ht="12.75" customHeight="1">
      <c r="A31" s="326"/>
      <c r="B31" s="261" t="s">
        <v>492</v>
      </c>
      <c r="C31" s="190"/>
      <c r="D31" s="190"/>
      <c r="E31" s="190"/>
      <c r="F31" s="238"/>
      <c r="G31" s="190"/>
      <c r="H31" s="190"/>
      <c r="I31" s="190"/>
      <c r="J31" s="262"/>
      <c r="K31" s="262">
        <v>2</v>
      </c>
      <c r="L31" s="190">
        <v>3</v>
      </c>
      <c r="M31" s="242">
        <v>180</v>
      </c>
      <c r="N31" s="238">
        <f t="shared" si="1"/>
        <v>1080</v>
      </c>
      <c r="O31" s="238"/>
      <c r="P31" s="238"/>
      <c r="Q31" s="238"/>
      <c r="R31" s="190"/>
      <c r="S31" s="262"/>
      <c r="T31" s="191"/>
      <c r="U31" s="435"/>
      <c r="V31" s="190"/>
      <c r="W31" s="190"/>
    </row>
    <row r="32" spans="1:21" s="190" customFormat="1" ht="12">
      <c r="A32" s="248">
        <v>4</v>
      </c>
      <c r="B32" s="251" t="s">
        <v>1897</v>
      </c>
      <c r="C32" s="258">
        <v>1</v>
      </c>
      <c r="D32" s="251">
        <v>2</v>
      </c>
      <c r="E32" s="251">
        <v>7000</v>
      </c>
      <c r="F32" s="252">
        <f>C32*D32*E32</f>
        <v>14000</v>
      </c>
      <c r="G32" s="251">
        <v>1</v>
      </c>
      <c r="H32" s="251">
        <v>8</v>
      </c>
      <c r="I32" s="250">
        <v>400</v>
      </c>
      <c r="J32" s="252">
        <f>G32*H32*I32</f>
        <v>3200</v>
      </c>
      <c r="K32" s="251">
        <v>1</v>
      </c>
      <c r="L32" s="251">
        <v>8</v>
      </c>
      <c r="M32" s="251">
        <v>180</v>
      </c>
      <c r="N32" s="252">
        <f t="shared" si="1"/>
        <v>1440</v>
      </c>
      <c r="O32" s="236"/>
      <c r="P32" s="236" t="s">
        <v>318</v>
      </c>
      <c r="Q32" s="243">
        <f>SUM(F32,J32,N32:N33)</f>
        <v>19040</v>
      </c>
      <c r="S32" s="262"/>
      <c r="T32" s="191"/>
      <c r="U32" s="435" t="s">
        <v>318</v>
      </c>
    </row>
    <row r="33" spans="1:21" s="190" customFormat="1" ht="12">
      <c r="A33" s="326"/>
      <c r="B33" s="327" t="s">
        <v>318</v>
      </c>
      <c r="C33" s="514"/>
      <c r="D33" s="327"/>
      <c r="E33" s="327"/>
      <c r="F33" s="238"/>
      <c r="G33" s="327"/>
      <c r="H33" s="327"/>
      <c r="I33" s="327"/>
      <c r="J33" s="238"/>
      <c r="K33" s="327">
        <v>1</v>
      </c>
      <c r="L33" s="327">
        <v>4</v>
      </c>
      <c r="M33" s="327">
        <v>100</v>
      </c>
      <c r="N33" s="238">
        <f t="shared" si="1"/>
        <v>400</v>
      </c>
      <c r="O33" s="238"/>
      <c r="P33" s="238"/>
      <c r="Q33" s="238"/>
      <c r="R33" s="327"/>
      <c r="S33" s="514"/>
      <c r="T33" s="191"/>
      <c r="U33" s="435" t="s">
        <v>318</v>
      </c>
    </row>
    <row r="34" spans="1:21" s="190" customFormat="1" ht="12">
      <c r="A34" s="248">
        <v>5</v>
      </c>
      <c r="B34" s="250" t="s">
        <v>1816</v>
      </c>
      <c r="C34" s="251">
        <v>3</v>
      </c>
      <c r="D34" s="251">
        <v>2</v>
      </c>
      <c r="E34" s="251">
        <v>2000</v>
      </c>
      <c r="F34" s="252">
        <f>C34*D34*E34</f>
        <v>12000</v>
      </c>
      <c r="G34" s="251">
        <v>3</v>
      </c>
      <c r="H34" s="251">
        <v>7</v>
      </c>
      <c r="I34" s="250">
        <v>300</v>
      </c>
      <c r="J34" s="252">
        <f>G34*H34*I34</f>
        <v>6300</v>
      </c>
      <c r="K34" s="251">
        <v>3</v>
      </c>
      <c r="L34" s="251">
        <v>7</v>
      </c>
      <c r="M34" s="251">
        <v>180</v>
      </c>
      <c r="N34" s="252">
        <f t="shared" si="1"/>
        <v>3780</v>
      </c>
      <c r="O34" s="236"/>
      <c r="P34" s="236"/>
      <c r="Q34" s="243">
        <f>SUM(F34,J34,N34:N35)</f>
        <v>24480</v>
      </c>
      <c r="S34" s="262"/>
      <c r="T34" s="191"/>
      <c r="U34" s="277" t="s">
        <v>318</v>
      </c>
    </row>
    <row r="35" spans="1:21" s="190" customFormat="1" ht="12">
      <c r="A35" s="326"/>
      <c r="B35" s="261" t="s">
        <v>1331</v>
      </c>
      <c r="C35" s="327"/>
      <c r="D35" s="327"/>
      <c r="E35" s="327"/>
      <c r="F35" s="238"/>
      <c r="G35" s="327">
        <v>0</v>
      </c>
      <c r="H35" s="327">
        <v>0</v>
      </c>
      <c r="I35" s="327">
        <v>0</v>
      </c>
      <c r="J35" s="238">
        <f>G35*H35*I35</f>
        <v>0</v>
      </c>
      <c r="K35" s="327">
        <v>3</v>
      </c>
      <c r="L35" s="327">
        <v>8</v>
      </c>
      <c r="M35" s="327">
        <v>100</v>
      </c>
      <c r="N35" s="238">
        <f t="shared" si="1"/>
        <v>2400</v>
      </c>
      <c r="O35" s="238"/>
      <c r="P35" s="238"/>
      <c r="Q35" s="238"/>
      <c r="S35" s="262"/>
      <c r="T35" s="191"/>
      <c r="U35" s="435" t="s">
        <v>318</v>
      </c>
    </row>
    <row r="36" spans="1:21" s="190" customFormat="1" ht="24" customHeight="1">
      <c r="A36" s="248">
        <v>6</v>
      </c>
      <c r="B36" s="265" t="s">
        <v>1593</v>
      </c>
      <c r="C36" s="266">
        <v>3</v>
      </c>
      <c r="D36" s="266">
        <v>2</v>
      </c>
      <c r="E36" s="266">
        <v>170</v>
      </c>
      <c r="F36" s="264">
        <f>C36*D36*E36</f>
        <v>1020</v>
      </c>
      <c r="G36" s="266">
        <v>3</v>
      </c>
      <c r="H36" s="266">
        <v>4.24</v>
      </c>
      <c r="I36" s="266">
        <v>300</v>
      </c>
      <c r="J36" s="264">
        <f>G36*H36*I36</f>
        <v>3816</v>
      </c>
      <c r="K36" s="266">
        <v>3</v>
      </c>
      <c r="L36" s="266">
        <v>5</v>
      </c>
      <c r="M36" s="266">
        <v>180</v>
      </c>
      <c r="N36" s="264">
        <f t="shared" si="1"/>
        <v>2700</v>
      </c>
      <c r="O36" s="264"/>
      <c r="P36" s="264"/>
      <c r="Q36" s="307">
        <f>SUM(F36,J36,N36)</f>
        <v>7536</v>
      </c>
      <c r="S36" s="262"/>
      <c r="T36" s="191" t="s">
        <v>541</v>
      </c>
      <c r="U36" s="435" t="s">
        <v>318</v>
      </c>
    </row>
    <row r="37" spans="1:21" s="190" customFormat="1" ht="12">
      <c r="A37" s="326">
        <v>7</v>
      </c>
      <c r="B37" s="242" t="s">
        <v>480</v>
      </c>
      <c r="C37" s="190">
        <v>3</v>
      </c>
      <c r="D37" s="190">
        <v>2</v>
      </c>
      <c r="E37" s="190">
        <v>1320</v>
      </c>
      <c r="F37" s="243">
        <f>D37*E37*C37</f>
        <v>7920</v>
      </c>
      <c r="G37" s="190">
        <v>3</v>
      </c>
      <c r="H37" s="190">
        <v>2</v>
      </c>
      <c r="I37" s="242">
        <v>320</v>
      </c>
      <c r="J37" s="236">
        <f>G37*H37*I37</f>
        <v>1920</v>
      </c>
      <c r="K37" s="190">
        <v>3</v>
      </c>
      <c r="L37" s="190">
        <v>4</v>
      </c>
      <c r="M37" s="242">
        <v>100</v>
      </c>
      <c r="N37" s="236">
        <f t="shared" si="1"/>
        <v>1200</v>
      </c>
      <c r="O37" s="236"/>
      <c r="P37" s="236"/>
      <c r="Q37" s="243">
        <f>SUM(F37,J37,N37:N38)</f>
        <v>12120</v>
      </c>
      <c r="S37" s="262"/>
      <c r="T37" s="191"/>
      <c r="U37" s="435"/>
    </row>
    <row r="38" spans="1:21" s="190" customFormat="1" ht="12.75" thickBot="1">
      <c r="A38" s="248"/>
      <c r="B38" s="242" t="s">
        <v>1264</v>
      </c>
      <c r="F38" s="331"/>
      <c r="I38" s="242"/>
      <c r="J38" s="238"/>
      <c r="K38" s="327">
        <v>3</v>
      </c>
      <c r="L38" s="327">
        <v>2</v>
      </c>
      <c r="M38" s="261">
        <v>180</v>
      </c>
      <c r="N38" s="238">
        <f t="shared" si="1"/>
        <v>1080</v>
      </c>
      <c r="O38" s="238"/>
      <c r="P38" s="238"/>
      <c r="Q38" s="238"/>
      <c r="R38" s="327"/>
      <c r="S38" s="514"/>
      <c r="T38" s="191"/>
      <c r="U38" s="435"/>
    </row>
    <row r="39" spans="1:23" s="784" customFormat="1" ht="12.75" customHeight="1" thickBot="1">
      <c r="A39" s="775"/>
      <c r="B39" s="777" t="s">
        <v>1783</v>
      </c>
      <c r="C39" s="776"/>
      <c r="D39" s="776"/>
      <c r="E39" s="777"/>
      <c r="F39" s="1131">
        <f>SUM(F28:F38)</f>
        <v>53940</v>
      </c>
      <c r="G39" s="786" t="s">
        <v>318</v>
      </c>
      <c r="H39" s="776" t="s">
        <v>318</v>
      </c>
      <c r="I39" s="777" t="s">
        <v>318</v>
      </c>
      <c r="J39" s="777">
        <f>SUM(J28:J38)</f>
        <v>22796</v>
      </c>
      <c r="K39" s="786" t="s">
        <v>318</v>
      </c>
      <c r="L39" s="776" t="s">
        <v>318</v>
      </c>
      <c r="M39" s="777" t="s">
        <v>318</v>
      </c>
      <c r="N39" s="1131">
        <f>SUM(N28:N38)</f>
        <v>26620</v>
      </c>
      <c r="O39" s="777">
        <f>SUM(O28:O38)</f>
        <v>0</v>
      </c>
      <c r="P39" s="777">
        <f>SUM(P28:P38)</f>
        <v>0</v>
      </c>
      <c r="Q39" s="1131">
        <f>SUM(Q28:Q38)</f>
        <v>103356</v>
      </c>
      <c r="R39" s="774"/>
      <c r="S39" s="786"/>
      <c r="T39" s="759"/>
      <c r="U39" s="782" t="s">
        <v>318</v>
      </c>
      <c r="V39" s="822">
        <f>SUM(F39:P39)</f>
        <v>103356</v>
      </c>
      <c r="W39" s="783"/>
    </row>
    <row r="40" spans="1:23" s="189" customFormat="1" ht="12">
      <c r="A40" s="248"/>
      <c r="B40" s="975" t="s">
        <v>1785</v>
      </c>
      <c r="C40" s="190"/>
      <c r="D40" s="190"/>
      <c r="E40" s="242"/>
      <c r="F40" s="242"/>
      <c r="G40" s="190"/>
      <c r="H40" s="190"/>
      <c r="I40" s="242"/>
      <c r="J40" s="242"/>
      <c r="K40" s="190"/>
      <c r="L40" s="190"/>
      <c r="M40" s="242"/>
      <c r="N40" s="242"/>
      <c r="O40" s="242"/>
      <c r="P40" s="242"/>
      <c r="Q40" s="242"/>
      <c r="R40" s="190"/>
      <c r="S40" s="262"/>
      <c r="T40" s="1130" t="s">
        <v>541</v>
      </c>
      <c r="U40" s="435"/>
      <c r="V40" s="277" t="s">
        <v>318</v>
      </c>
      <c r="W40" s="190"/>
    </row>
    <row r="41" spans="1:21" s="190" customFormat="1" ht="12">
      <c r="A41" s="249">
        <v>1</v>
      </c>
      <c r="B41" s="251" t="s">
        <v>466</v>
      </c>
      <c r="C41" s="258">
        <v>1</v>
      </c>
      <c r="D41" s="251">
        <v>2</v>
      </c>
      <c r="E41" s="1214">
        <v>1300</v>
      </c>
      <c r="F41" s="252">
        <f>C41*D41*E41</f>
        <v>2600</v>
      </c>
      <c r="G41" s="251">
        <v>1</v>
      </c>
      <c r="H41" s="251">
        <v>3.5</v>
      </c>
      <c r="I41" s="251">
        <v>330</v>
      </c>
      <c r="J41" s="236">
        <f>G41*H41*I41</f>
        <v>1155</v>
      </c>
      <c r="K41" s="251">
        <v>1</v>
      </c>
      <c r="L41" s="251">
        <v>4</v>
      </c>
      <c r="M41" s="251">
        <v>180</v>
      </c>
      <c r="N41" s="252">
        <f>K41*L41*M41</f>
        <v>720</v>
      </c>
      <c r="O41" s="236"/>
      <c r="P41" s="242"/>
      <c r="Q41" s="242">
        <f>SUM(F41,J41,N41:N42)</f>
        <v>4875</v>
      </c>
      <c r="S41" s="262"/>
      <c r="T41" s="191"/>
      <c r="U41" s="435" t="s">
        <v>318</v>
      </c>
    </row>
    <row r="42" spans="1:21" s="190" customFormat="1" ht="12">
      <c r="A42" s="326"/>
      <c r="B42" s="327" t="s">
        <v>318</v>
      </c>
      <c r="C42" s="514"/>
      <c r="D42" s="327"/>
      <c r="E42" s="1180"/>
      <c r="F42" s="238"/>
      <c r="G42" s="327" t="s">
        <v>318</v>
      </c>
      <c r="H42" s="327" t="s">
        <v>318</v>
      </c>
      <c r="I42" s="327" t="s">
        <v>318</v>
      </c>
      <c r="J42" s="238" t="s">
        <v>318</v>
      </c>
      <c r="K42" s="327">
        <v>1</v>
      </c>
      <c r="L42" s="327">
        <v>4</v>
      </c>
      <c r="M42" s="327">
        <v>100</v>
      </c>
      <c r="N42" s="238">
        <f>K42*L42*M42</f>
        <v>400</v>
      </c>
      <c r="O42" s="238"/>
      <c r="P42" s="238"/>
      <c r="Q42" s="238"/>
      <c r="S42" s="262"/>
      <c r="T42" s="263"/>
      <c r="U42" s="435"/>
    </row>
    <row r="43" spans="1:21" s="190" customFormat="1" ht="24">
      <c r="A43" s="249">
        <v>2</v>
      </c>
      <c r="B43" s="251" t="s">
        <v>337</v>
      </c>
      <c r="C43" s="258">
        <v>3</v>
      </c>
      <c r="D43" s="251">
        <v>2</v>
      </c>
      <c r="E43" s="251">
        <v>1800</v>
      </c>
      <c r="F43" s="252">
        <f>C43*D43*E43</f>
        <v>10800</v>
      </c>
      <c r="G43" s="251">
        <v>3</v>
      </c>
      <c r="H43" s="251">
        <v>4</v>
      </c>
      <c r="I43" s="251">
        <v>500</v>
      </c>
      <c r="J43" s="252">
        <f>G43*H43*I43</f>
        <v>6000</v>
      </c>
      <c r="K43" s="251">
        <v>3</v>
      </c>
      <c r="L43" s="251">
        <v>4</v>
      </c>
      <c r="M43" s="251">
        <v>180</v>
      </c>
      <c r="N43" s="252">
        <f>K43*L43*M43</f>
        <v>2160</v>
      </c>
      <c r="O43" s="236"/>
      <c r="P43" s="242"/>
      <c r="Q43" s="242">
        <f>SUM(F43,J43,N43:N43)</f>
        <v>18960</v>
      </c>
      <c r="S43" s="262"/>
      <c r="T43" s="191"/>
      <c r="U43" s="435" t="s">
        <v>318</v>
      </c>
    </row>
    <row r="44" spans="1:21" s="190" customFormat="1" ht="24.75" thickBot="1">
      <c r="A44" s="249">
        <v>3</v>
      </c>
      <c r="B44" s="250" t="s">
        <v>1702</v>
      </c>
      <c r="C44" s="190">
        <v>5</v>
      </c>
      <c r="D44" s="190">
        <v>2</v>
      </c>
      <c r="E44" s="190">
        <v>2000</v>
      </c>
      <c r="F44" s="264">
        <f>C44*D44*E44</f>
        <v>20000</v>
      </c>
      <c r="G44" s="190">
        <v>5</v>
      </c>
      <c r="H44" s="190">
        <v>3</v>
      </c>
      <c r="I44" s="190">
        <v>500</v>
      </c>
      <c r="J44" s="252">
        <f>G44*H44*I44</f>
        <v>7500</v>
      </c>
      <c r="K44" s="190">
        <v>5</v>
      </c>
      <c r="L44" s="190">
        <v>6</v>
      </c>
      <c r="M44" s="190">
        <v>180</v>
      </c>
      <c r="N44" s="236">
        <f>K44*L44*M44</f>
        <v>5400</v>
      </c>
      <c r="O44" s="264"/>
      <c r="P44" s="264"/>
      <c r="Q44" s="264">
        <f>SUM(F44,J44,N44)</f>
        <v>32900</v>
      </c>
      <c r="S44" s="262"/>
      <c r="T44" s="191"/>
      <c r="U44" s="435"/>
    </row>
    <row r="45" spans="1:22" s="783" customFormat="1" ht="12.75" customHeight="1" thickBot="1">
      <c r="A45" s="775"/>
      <c r="B45" s="777" t="s">
        <v>1783</v>
      </c>
      <c r="C45" s="776"/>
      <c r="D45" s="776"/>
      <c r="E45" s="777"/>
      <c r="F45" s="779">
        <f>SUM(F41:F44)</f>
        <v>33400</v>
      </c>
      <c r="G45" s="776"/>
      <c r="H45" s="776"/>
      <c r="I45" s="777"/>
      <c r="J45" s="779">
        <f>SUM(J41:J44)</f>
        <v>14655</v>
      </c>
      <c r="K45" s="776"/>
      <c r="L45" s="776"/>
      <c r="M45" s="777"/>
      <c r="N45" s="779">
        <f>SUM(N41:N44)</f>
        <v>8680</v>
      </c>
      <c r="O45" s="779"/>
      <c r="P45" s="779"/>
      <c r="Q45" s="779">
        <f>SUM(Q41:Q44)</f>
        <v>56735</v>
      </c>
      <c r="R45" s="774"/>
      <c r="S45" s="786"/>
      <c r="T45" s="759"/>
      <c r="U45" s="824"/>
      <c r="V45" s="822">
        <f>SUM(F45:P45)</f>
        <v>56735</v>
      </c>
    </row>
    <row r="46" spans="1:23" s="189" customFormat="1" ht="12">
      <c r="A46" s="976"/>
      <c r="B46" s="975" t="s">
        <v>1786</v>
      </c>
      <c r="C46" s="190"/>
      <c r="D46" s="190"/>
      <c r="E46" s="242"/>
      <c r="F46" s="242"/>
      <c r="G46" s="190"/>
      <c r="H46" s="190"/>
      <c r="I46" s="242"/>
      <c r="J46" s="242"/>
      <c r="K46" s="190"/>
      <c r="L46" s="190"/>
      <c r="M46" s="242"/>
      <c r="N46" s="242"/>
      <c r="O46" s="242"/>
      <c r="P46" s="242"/>
      <c r="Q46" s="242"/>
      <c r="R46" s="190"/>
      <c r="S46" s="262"/>
      <c r="T46" s="191"/>
      <c r="U46" s="435"/>
      <c r="V46" s="190"/>
      <c r="W46" s="190"/>
    </row>
    <row r="47" spans="1:21" s="190" customFormat="1" ht="12.75" customHeight="1">
      <c r="A47" s="249">
        <v>1</v>
      </c>
      <c r="B47" s="1935" t="s">
        <v>1296</v>
      </c>
      <c r="C47" s="251">
        <v>11</v>
      </c>
      <c r="D47" s="251">
        <v>2</v>
      </c>
      <c r="E47" s="250">
        <v>500</v>
      </c>
      <c r="F47" s="250">
        <f>C47*D47*E47</f>
        <v>11000</v>
      </c>
      <c r="G47" s="251"/>
      <c r="H47" s="251"/>
      <c r="I47" s="250"/>
      <c r="J47" s="250">
        <f>G47*H47*I47</f>
        <v>0</v>
      </c>
      <c r="K47" s="251"/>
      <c r="L47" s="251"/>
      <c r="M47" s="250"/>
      <c r="N47" s="250">
        <f>K47*L47*M47</f>
        <v>0</v>
      </c>
      <c r="O47" s="242"/>
      <c r="P47" s="242"/>
      <c r="Q47" s="242">
        <f>SUM(F47,J47,N47)</f>
        <v>11000</v>
      </c>
      <c r="S47" s="262"/>
      <c r="T47" s="191"/>
      <c r="U47" s="435"/>
    </row>
    <row r="48" spans="1:23" s="189" customFormat="1" ht="12.75" customHeight="1">
      <c r="A48" s="326" t="s">
        <v>318</v>
      </c>
      <c r="B48" s="1936"/>
      <c r="C48" s="327"/>
      <c r="D48" s="327"/>
      <c r="E48" s="261"/>
      <c r="F48" s="261"/>
      <c r="G48" s="327"/>
      <c r="H48" s="327"/>
      <c r="I48" s="261"/>
      <c r="J48" s="261"/>
      <c r="K48" s="327"/>
      <c r="L48" s="327"/>
      <c r="M48" s="261"/>
      <c r="N48" s="261"/>
      <c r="O48" s="261"/>
      <c r="P48" s="261"/>
      <c r="Q48" s="261" t="s">
        <v>318</v>
      </c>
      <c r="R48" s="327"/>
      <c r="S48" s="514"/>
      <c r="T48" s="263"/>
      <c r="U48" s="435" t="s">
        <v>318</v>
      </c>
      <c r="V48" s="190"/>
      <c r="W48" s="190"/>
    </row>
    <row r="49" spans="1:23" s="189" customFormat="1" ht="21" customHeight="1">
      <c r="A49" s="274">
        <v>2</v>
      </c>
      <c r="B49" s="265" t="s">
        <v>1297</v>
      </c>
      <c r="C49" s="266">
        <v>2</v>
      </c>
      <c r="D49" s="266">
        <v>2</v>
      </c>
      <c r="E49" s="265">
        <v>1000</v>
      </c>
      <c r="F49" s="265">
        <f>C49*D49*E49</f>
        <v>4000</v>
      </c>
      <c r="G49" s="266">
        <v>2</v>
      </c>
      <c r="H49" s="266">
        <v>2</v>
      </c>
      <c r="I49" s="265">
        <v>300</v>
      </c>
      <c r="J49" s="265">
        <f>G49*H49*I49</f>
        <v>1200</v>
      </c>
      <c r="K49" s="266">
        <v>2</v>
      </c>
      <c r="L49" s="266">
        <v>5</v>
      </c>
      <c r="M49" s="265">
        <v>180</v>
      </c>
      <c r="N49" s="265">
        <f>K49*L49*M49</f>
        <v>1800</v>
      </c>
      <c r="O49" s="264"/>
      <c r="P49" s="264"/>
      <c r="Q49" s="307">
        <f>F49+J49+N49</f>
        <v>7000</v>
      </c>
      <c r="R49" s="190"/>
      <c r="S49" s="262"/>
      <c r="T49" s="191"/>
      <c r="U49" s="435"/>
      <c r="V49" s="190"/>
      <c r="W49" s="190"/>
    </row>
    <row r="50" spans="1:21" s="190" customFormat="1" ht="21" customHeight="1">
      <c r="A50" s="249">
        <v>3</v>
      </c>
      <c r="B50" s="250" t="s">
        <v>261</v>
      </c>
      <c r="C50" s="251">
        <v>2</v>
      </c>
      <c r="D50" s="251">
        <v>2</v>
      </c>
      <c r="E50" s="250">
        <v>1000</v>
      </c>
      <c r="F50" s="250">
        <f>C50*D50*E50</f>
        <v>4000</v>
      </c>
      <c r="G50" s="251">
        <v>1</v>
      </c>
      <c r="H50" s="251">
        <v>4</v>
      </c>
      <c r="I50" s="250">
        <v>400</v>
      </c>
      <c r="J50" s="250">
        <f>G50*H50*I50</f>
        <v>1600</v>
      </c>
      <c r="K50" s="251"/>
      <c r="L50" s="251"/>
      <c r="M50" s="250"/>
      <c r="N50" s="250"/>
      <c r="O50" s="264"/>
      <c r="P50" s="265"/>
      <c r="Q50" s="329">
        <f>SUM(F50,J50,N50)</f>
        <v>5600</v>
      </c>
      <c r="S50" s="262"/>
      <c r="T50" s="191"/>
      <c r="U50" s="435"/>
    </row>
    <row r="51" spans="1:21" s="190" customFormat="1" ht="16.5" customHeight="1">
      <c r="A51" s="274">
        <v>4</v>
      </c>
      <c r="B51" s="265" t="s">
        <v>262</v>
      </c>
      <c r="C51" s="266">
        <v>2</v>
      </c>
      <c r="D51" s="266">
        <v>2</v>
      </c>
      <c r="E51" s="265">
        <v>5000</v>
      </c>
      <c r="F51" s="265">
        <f>C51*D51*E51</f>
        <v>20000</v>
      </c>
      <c r="G51" s="266">
        <v>2</v>
      </c>
      <c r="H51" s="266">
        <v>4</v>
      </c>
      <c r="I51" s="265">
        <v>300</v>
      </c>
      <c r="J51" s="265">
        <f>G51*H51*I51</f>
        <v>2400</v>
      </c>
      <c r="K51" s="266">
        <v>2</v>
      </c>
      <c r="L51" s="266">
        <v>4</v>
      </c>
      <c r="M51" s="265">
        <v>100</v>
      </c>
      <c r="N51" s="265">
        <f>K51*L51*M51</f>
        <v>800</v>
      </c>
      <c r="O51" s="264"/>
      <c r="P51" s="264"/>
      <c r="Q51" s="264">
        <f>SUM(F51,J51,N51)</f>
        <v>23200</v>
      </c>
      <c r="S51" s="262"/>
      <c r="T51" s="191"/>
      <c r="U51" s="435"/>
    </row>
    <row r="52" spans="1:21" s="190" customFormat="1" ht="26.25" customHeight="1">
      <c r="A52" s="274">
        <v>5</v>
      </c>
      <c r="B52" s="265" t="s">
        <v>892</v>
      </c>
      <c r="C52" s="266">
        <v>1</v>
      </c>
      <c r="D52" s="266">
        <v>2</v>
      </c>
      <c r="E52" s="265">
        <v>5000</v>
      </c>
      <c r="F52" s="265">
        <f>C52*D52*E52</f>
        <v>10000</v>
      </c>
      <c r="G52" s="266">
        <v>0</v>
      </c>
      <c r="H52" s="266">
        <v>13</v>
      </c>
      <c r="I52" s="265">
        <v>300</v>
      </c>
      <c r="J52" s="265">
        <f>G52*H52*I52</f>
        <v>0</v>
      </c>
      <c r="K52" s="266">
        <v>1</v>
      </c>
      <c r="L52" s="266">
        <v>13</v>
      </c>
      <c r="M52" s="265">
        <v>100</v>
      </c>
      <c r="N52" s="265">
        <f>K52*L52*M52</f>
        <v>1300</v>
      </c>
      <c r="O52" s="264"/>
      <c r="P52" s="264"/>
      <c r="Q52" s="264">
        <f>SUM(F52,J52,N52)</f>
        <v>11300</v>
      </c>
      <c r="S52" s="262"/>
      <c r="T52" s="191"/>
      <c r="U52" s="435"/>
    </row>
    <row r="53" spans="1:23" s="189" customFormat="1" ht="11.25" customHeight="1">
      <c r="A53" s="249">
        <v>6</v>
      </c>
      <c r="B53" s="250" t="s">
        <v>358</v>
      </c>
      <c r="C53" s="251">
        <v>4</v>
      </c>
      <c r="D53" s="251">
        <v>2</v>
      </c>
      <c r="E53" s="251">
        <v>600</v>
      </c>
      <c r="F53" s="252">
        <f>C53*D53*E53</f>
        <v>4800</v>
      </c>
      <c r="G53" s="251">
        <v>4</v>
      </c>
      <c r="H53" s="251">
        <v>4.5</v>
      </c>
      <c r="I53" s="251">
        <v>300</v>
      </c>
      <c r="J53" s="252">
        <f>G53*H53*I53</f>
        <v>5400</v>
      </c>
      <c r="K53" s="251">
        <v>4</v>
      </c>
      <c r="L53" s="251">
        <v>4</v>
      </c>
      <c r="M53" s="251">
        <v>180</v>
      </c>
      <c r="N53" s="252">
        <f>K53*L53*M53</f>
        <v>2880</v>
      </c>
      <c r="O53" s="236"/>
      <c r="P53" s="242"/>
      <c r="Q53" s="242">
        <f>SUM(F53,J53,N53:N54)</f>
        <v>14280</v>
      </c>
      <c r="R53" s="190"/>
      <c r="S53" s="262"/>
      <c r="T53" s="191"/>
      <c r="U53" s="435" t="s">
        <v>318</v>
      </c>
      <c r="V53" s="190"/>
      <c r="W53" s="190"/>
    </row>
    <row r="54" spans="1:23" s="189" customFormat="1" ht="11.25" customHeight="1">
      <c r="A54" s="326"/>
      <c r="B54" s="261" t="s">
        <v>727</v>
      </c>
      <c r="C54" s="327"/>
      <c r="D54" s="327"/>
      <c r="E54" s="327"/>
      <c r="F54" s="238"/>
      <c r="G54" s="327"/>
      <c r="H54" s="327"/>
      <c r="I54" s="327"/>
      <c r="J54" s="238"/>
      <c r="K54" s="327">
        <v>4</v>
      </c>
      <c r="L54" s="327">
        <v>3</v>
      </c>
      <c r="M54" s="327">
        <v>100</v>
      </c>
      <c r="N54" s="238">
        <f>K54*L54*M54</f>
        <v>1200</v>
      </c>
      <c r="O54" s="238"/>
      <c r="P54" s="238"/>
      <c r="Q54" s="238"/>
      <c r="R54" s="190"/>
      <c r="S54" s="262"/>
      <c r="T54" s="191"/>
      <c r="U54" s="435"/>
      <c r="V54" s="190"/>
      <c r="W54" s="190"/>
    </row>
    <row r="55" spans="1:23" s="189" customFormat="1" ht="23.25" customHeight="1">
      <c r="A55" s="249">
        <v>7</v>
      </c>
      <c r="B55" s="250" t="s">
        <v>1289</v>
      </c>
      <c r="C55" s="251" t="s">
        <v>1776</v>
      </c>
      <c r="D55" s="251">
        <v>10</v>
      </c>
      <c r="E55" s="250">
        <v>300</v>
      </c>
      <c r="F55" s="250">
        <v>3000</v>
      </c>
      <c r="G55" s="251"/>
      <c r="H55" s="251"/>
      <c r="I55" s="250"/>
      <c r="J55" s="250"/>
      <c r="K55" s="251"/>
      <c r="L55" s="251"/>
      <c r="M55" s="250"/>
      <c r="N55" s="250"/>
      <c r="O55" s="242"/>
      <c r="P55" s="242"/>
      <c r="Q55" s="264">
        <f>SUM(F55,J55,N55)</f>
        <v>3000</v>
      </c>
      <c r="R55" s="190"/>
      <c r="S55" s="262"/>
      <c r="T55" s="263"/>
      <c r="U55" s="435" t="s">
        <v>318</v>
      </c>
      <c r="V55" s="190"/>
      <c r="W55" s="190"/>
    </row>
    <row r="56" spans="1:23" s="189" customFormat="1" ht="11.25" customHeight="1">
      <c r="A56" s="249">
        <v>8</v>
      </c>
      <c r="B56" s="1935" t="s">
        <v>1521</v>
      </c>
      <c r="C56" s="251">
        <v>3</v>
      </c>
      <c r="D56" s="251">
        <v>2</v>
      </c>
      <c r="E56" s="251">
        <v>7000</v>
      </c>
      <c r="F56" s="252">
        <f>C56*D56*E56</f>
        <v>42000</v>
      </c>
      <c r="G56" s="251">
        <v>3</v>
      </c>
      <c r="H56" s="251">
        <v>18</v>
      </c>
      <c r="I56" s="251">
        <v>355</v>
      </c>
      <c r="J56" s="252">
        <f>G56*H56*I56</f>
        <v>19170</v>
      </c>
      <c r="K56" s="251">
        <v>3</v>
      </c>
      <c r="L56" s="251">
        <v>19</v>
      </c>
      <c r="M56" s="1212">
        <v>180</v>
      </c>
      <c r="N56" s="257">
        <f aca="true" t="shared" si="2" ref="N56:N66">K56*L56*M56</f>
        <v>10260</v>
      </c>
      <c r="O56" s="257"/>
      <c r="P56" s="259"/>
      <c r="Q56" s="259">
        <f>SUM(F56:F57,J56:J57,N56:N57)</f>
        <v>81930</v>
      </c>
      <c r="R56" s="190"/>
      <c r="S56" s="262"/>
      <c r="T56" s="191"/>
      <c r="U56" s="435" t="s">
        <v>318</v>
      </c>
      <c r="V56" s="190"/>
      <c r="W56" s="190"/>
    </row>
    <row r="57" spans="1:23" s="189" customFormat="1" ht="11.25" customHeight="1">
      <c r="A57" s="326"/>
      <c r="B57" s="1936"/>
      <c r="C57" s="327">
        <v>1</v>
      </c>
      <c r="D57" s="327">
        <v>2</v>
      </c>
      <c r="E57" s="327">
        <v>750</v>
      </c>
      <c r="F57" s="252">
        <f>C57*D57*E57</f>
        <v>1500</v>
      </c>
      <c r="G57" s="327">
        <v>2</v>
      </c>
      <c r="H57" s="327">
        <v>14</v>
      </c>
      <c r="I57" s="327">
        <v>300</v>
      </c>
      <c r="J57" s="252">
        <f>G57*H57*I57</f>
        <v>8400</v>
      </c>
      <c r="K57" s="327">
        <v>3</v>
      </c>
      <c r="L57" s="1180">
        <v>2</v>
      </c>
      <c r="M57" s="327">
        <v>100</v>
      </c>
      <c r="N57" s="238">
        <f t="shared" si="2"/>
        <v>600</v>
      </c>
      <c r="O57" s="238"/>
      <c r="P57" s="238"/>
      <c r="Q57" s="238"/>
      <c r="R57" s="327"/>
      <c r="S57" s="514"/>
      <c r="T57" s="263"/>
      <c r="U57" s="435" t="s">
        <v>318</v>
      </c>
      <c r="V57" s="190"/>
      <c r="W57" s="190"/>
    </row>
    <row r="58" spans="1:23" s="189" customFormat="1" ht="24.75" customHeight="1">
      <c r="A58" s="326">
        <v>9</v>
      </c>
      <c r="B58" s="261" t="s">
        <v>554</v>
      </c>
      <c r="C58" s="327">
        <v>3</v>
      </c>
      <c r="D58" s="327">
        <v>2</v>
      </c>
      <c r="E58" s="261">
        <v>500</v>
      </c>
      <c r="F58" s="261">
        <f>C58*D58*E58</f>
        <v>3000</v>
      </c>
      <c r="G58" s="327">
        <v>3</v>
      </c>
      <c r="H58" s="327">
        <v>4</v>
      </c>
      <c r="I58" s="327">
        <v>300</v>
      </c>
      <c r="J58" s="238">
        <f>G58*H58*I58</f>
        <v>3600</v>
      </c>
      <c r="K58" s="327">
        <v>3</v>
      </c>
      <c r="L58" s="327">
        <v>6</v>
      </c>
      <c r="M58" s="327">
        <v>180</v>
      </c>
      <c r="N58" s="238">
        <f t="shared" si="2"/>
        <v>3240</v>
      </c>
      <c r="O58" s="238"/>
      <c r="P58" s="238"/>
      <c r="Q58" s="238">
        <f>SUM(F58,J58,N58)</f>
        <v>9840</v>
      </c>
      <c r="R58" s="327"/>
      <c r="S58" s="514"/>
      <c r="T58" s="191"/>
      <c r="U58" s="435"/>
      <c r="V58" s="190"/>
      <c r="W58" s="190"/>
    </row>
    <row r="59" spans="1:23" s="189" customFormat="1" ht="24">
      <c r="A59" s="249">
        <v>10</v>
      </c>
      <c r="B59" s="250" t="s">
        <v>146</v>
      </c>
      <c r="C59" s="251">
        <v>1</v>
      </c>
      <c r="D59" s="251">
        <v>2</v>
      </c>
      <c r="E59" s="250">
        <v>2000</v>
      </c>
      <c r="F59" s="252">
        <f>C59*D59*E59</f>
        <v>4000</v>
      </c>
      <c r="G59" s="251">
        <v>1</v>
      </c>
      <c r="H59" s="251">
        <v>4</v>
      </c>
      <c r="I59" s="250">
        <v>300</v>
      </c>
      <c r="J59" s="250">
        <f>G59*H59*I59</f>
        <v>1200</v>
      </c>
      <c r="K59" s="251">
        <v>1</v>
      </c>
      <c r="L59" s="251">
        <v>7</v>
      </c>
      <c r="M59" s="250">
        <v>100</v>
      </c>
      <c r="N59" s="250">
        <f t="shared" si="2"/>
        <v>700</v>
      </c>
      <c r="O59" s="242"/>
      <c r="P59" s="242"/>
      <c r="Q59" s="264">
        <f>SUM(F59,J59,N59)</f>
        <v>5900</v>
      </c>
      <c r="R59" s="190"/>
      <c r="S59" s="262"/>
      <c r="T59" s="191" t="s">
        <v>541</v>
      </c>
      <c r="U59" s="435" t="s">
        <v>318</v>
      </c>
      <c r="V59" s="190"/>
      <c r="W59" s="190"/>
    </row>
    <row r="60" spans="1:21" s="190" customFormat="1" ht="12">
      <c r="A60" s="249">
        <v>11</v>
      </c>
      <c r="B60" s="251" t="s">
        <v>1020</v>
      </c>
      <c r="C60" s="258">
        <v>2</v>
      </c>
      <c r="D60" s="251">
        <v>2</v>
      </c>
      <c r="E60" s="251">
        <v>2000</v>
      </c>
      <c r="F60" s="252">
        <f>C60*D60*E60</f>
        <v>8000</v>
      </c>
      <c r="G60" s="251">
        <v>2</v>
      </c>
      <c r="H60" s="251">
        <v>5</v>
      </c>
      <c r="I60" s="251">
        <v>370</v>
      </c>
      <c r="J60" s="252">
        <f>G60*H60*I60</f>
        <v>3700</v>
      </c>
      <c r="K60" s="251">
        <v>2</v>
      </c>
      <c r="L60" s="251">
        <v>6</v>
      </c>
      <c r="M60" s="251">
        <v>180</v>
      </c>
      <c r="N60" s="252">
        <f t="shared" si="2"/>
        <v>2160</v>
      </c>
      <c r="O60" s="236"/>
      <c r="P60" s="242"/>
      <c r="Q60" s="242">
        <f>SUM(F60,J60,N60:N61)</f>
        <v>14660</v>
      </c>
      <c r="S60" s="262"/>
      <c r="T60" s="191"/>
      <c r="U60" s="435" t="s">
        <v>318</v>
      </c>
    </row>
    <row r="61" spans="1:21" s="190" customFormat="1" ht="12">
      <c r="A61" s="326"/>
      <c r="B61" s="327" t="s">
        <v>1021</v>
      </c>
      <c r="C61" s="514"/>
      <c r="D61" s="327"/>
      <c r="E61" s="327"/>
      <c r="F61" s="238"/>
      <c r="G61" s="327"/>
      <c r="H61" s="327"/>
      <c r="I61" s="327"/>
      <c r="J61" s="238"/>
      <c r="K61" s="327">
        <v>2</v>
      </c>
      <c r="L61" s="327">
        <v>4</v>
      </c>
      <c r="M61" s="327">
        <v>100</v>
      </c>
      <c r="N61" s="238">
        <f t="shared" si="2"/>
        <v>800</v>
      </c>
      <c r="O61" s="238"/>
      <c r="P61" s="238"/>
      <c r="Q61" s="238"/>
      <c r="S61" s="262"/>
      <c r="T61" s="191"/>
      <c r="U61" s="435"/>
    </row>
    <row r="62" spans="1:23" s="189" customFormat="1" ht="24.75" customHeight="1">
      <c r="A62" s="248">
        <v>12</v>
      </c>
      <c r="B62" s="242" t="s">
        <v>384</v>
      </c>
      <c r="C62" s="251" t="s">
        <v>1776</v>
      </c>
      <c r="D62" s="190">
        <v>10</v>
      </c>
      <c r="E62" s="242">
        <v>300</v>
      </c>
      <c r="F62" s="242">
        <f>D62*E62</f>
        <v>3000</v>
      </c>
      <c r="G62" s="190"/>
      <c r="H62" s="190"/>
      <c r="I62" s="242"/>
      <c r="J62" s="242"/>
      <c r="K62" s="190">
        <v>5</v>
      </c>
      <c r="L62" s="190">
        <v>2</v>
      </c>
      <c r="M62" s="242">
        <v>100</v>
      </c>
      <c r="N62" s="242">
        <f t="shared" si="2"/>
        <v>1000</v>
      </c>
      <c r="O62" s="264"/>
      <c r="P62" s="264"/>
      <c r="Q62" s="264">
        <f>SUM(F62,J62,N62)</f>
        <v>4000</v>
      </c>
      <c r="R62" s="190"/>
      <c r="S62" s="262"/>
      <c r="T62" s="191"/>
      <c r="U62" s="435"/>
      <c r="V62" s="190"/>
      <c r="W62" s="190"/>
    </row>
    <row r="63" spans="1:21" s="190" customFormat="1" ht="15" customHeight="1">
      <c r="A63" s="249">
        <v>13</v>
      </c>
      <c r="B63" s="251" t="s">
        <v>1754</v>
      </c>
      <c r="C63" s="258">
        <v>3</v>
      </c>
      <c r="D63" s="251">
        <v>2</v>
      </c>
      <c r="E63" s="251">
        <v>8000</v>
      </c>
      <c r="F63" s="252">
        <f>C63*D63*E63</f>
        <v>48000</v>
      </c>
      <c r="G63" s="251">
        <v>3</v>
      </c>
      <c r="H63" s="251">
        <v>5</v>
      </c>
      <c r="I63" s="251">
        <v>300</v>
      </c>
      <c r="J63" s="252">
        <f>G63*H63*I63</f>
        <v>4500</v>
      </c>
      <c r="K63" s="251">
        <v>3</v>
      </c>
      <c r="L63" s="251">
        <v>3</v>
      </c>
      <c r="M63" s="251">
        <v>180</v>
      </c>
      <c r="N63" s="252">
        <f t="shared" si="2"/>
        <v>1620</v>
      </c>
      <c r="O63" s="236"/>
      <c r="P63" s="242"/>
      <c r="Q63" s="259">
        <f>SUM(F63,J63,N63:N64)</f>
        <v>55320</v>
      </c>
      <c r="S63" s="262"/>
      <c r="T63" s="191"/>
      <c r="U63" s="435" t="s">
        <v>318</v>
      </c>
    </row>
    <row r="64" spans="1:21" s="190" customFormat="1" ht="12">
      <c r="A64" s="326"/>
      <c r="B64" s="327" t="s">
        <v>893</v>
      </c>
      <c r="C64" s="514"/>
      <c r="D64" s="327"/>
      <c r="E64" s="327"/>
      <c r="F64" s="236"/>
      <c r="G64" s="327"/>
      <c r="H64" s="327"/>
      <c r="I64" s="327"/>
      <c r="J64" s="236"/>
      <c r="K64" s="327">
        <v>3</v>
      </c>
      <c r="L64" s="327">
        <v>4</v>
      </c>
      <c r="M64" s="327">
        <v>100</v>
      </c>
      <c r="N64" s="238">
        <f t="shared" si="2"/>
        <v>1200</v>
      </c>
      <c r="O64" s="238"/>
      <c r="P64" s="238"/>
      <c r="Q64" s="238"/>
      <c r="S64" s="262"/>
      <c r="T64" s="191"/>
      <c r="U64" s="435"/>
    </row>
    <row r="65" spans="1:21" s="190" customFormat="1" ht="14.25" customHeight="1">
      <c r="A65" s="249">
        <v>14</v>
      </c>
      <c r="B65" s="250" t="s">
        <v>266</v>
      </c>
      <c r="C65" s="251">
        <v>6</v>
      </c>
      <c r="D65" s="251">
        <v>2</v>
      </c>
      <c r="E65" s="251">
        <v>200</v>
      </c>
      <c r="F65" s="252">
        <f>C65*D65*E65</f>
        <v>2400</v>
      </c>
      <c r="G65" s="251">
        <v>6</v>
      </c>
      <c r="H65" s="251">
        <v>7</v>
      </c>
      <c r="I65" s="251">
        <v>300</v>
      </c>
      <c r="J65" s="252">
        <f>G65*H65*I65</f>
        <v>12600</v>
      </c>
      <c r="K65" s="251">
        <v>6</v>
      </c>
      <c r="L65" s="251">
        <v>7</v>
      </c>
      <c r="M65" s="251">
        <v>180</v>
      </c>
      <c r="N65" s="252">
        <f t="shared" si="2"/>
        <v>7560</v>
      </c>
      <c r="O65" s="236"/>
      <c r="P65" s="242"/>
      <c r="Q65" s="242">
        <f>SUM(F65,J65,N65:N66)</f>
        <v>23160</v>
      </c>
      <c r="S65" s="262"/>
      <c r="T65" s="191"/>
      <c r="U65" s="435"/>
    </row>
    <row r="66" spans="1:21" s="190" customFormat="1" ht="12.75" thickBot="1">
      <c r="A66" s="248"/>
      <c r="B66" s="242" t="s">
        <v>1212</v>
      </c>
      <c r="E66" s="242"/>
      <c r="F66" s="236"/>
      <c r="I66" s="242"/>
      <c r="J66" s="242"/>
      <c r="K66" s="190">
        <v>6</v>
      </c>
      <c r="L66" s="190">
        <v>1</v>
      </c>
      <c r="M66" s="190">
        <v>100</v>
      </c>
      <c r="N66" s="236">
        <f t="shared" si="2"/>
        <v>600</v>
      </c>
      <c r="O66" s="242"/>
      <c r="P66" s="242"/>
      <c r="Q66" s="242"/>
      <c r="S66" s="262"/>
      <c r="T66" s="191"/>
      <c r="U66" s="435"/>
    </row>
    <row r="67" spans="1:22" s="783" customFormat="1" ht="12.75" customHeight="1" thickBot="1">
      <c r="A67" s="775"/>
      <c r="B67" s="777" t="s">
        <v>1783</v>
      </c>
      <c r="C67" s="776"/>
      <c r="D67" s="776"/>
      <c r="E67" s="777"/>
      <c r="F67" s="779">
        <f>SUM(F47:F66)</f>
        <v>168700</v>
      </c>
      <c r="G67" s="776"/>
      <c r="H67" s="776"/>
      <c r="I67" s="777"/>
      <c r="J67" s="779">
        <f>SUM(J47:J66)</f>
        <v>63770</v>
      </c>
      <c r="K67" s="776"/>
      <c r="L67" s="776"/>
      <c r="M67" s="777"/>
      <c r="N67" s="779">
        <f>SUM(N47:N66)</f>
        <v>37720</v>
      </c>
      <c r="O67" s="786"/>
      <c r="P67" s="786"/>
      <c r="Q67" s="780">
        <f>SUM(Q46:Q66)</f>
        <v>270190</v>
      </c>
      <c r="R67" s="774"/>
      <c r="S67" s="786"/>
      <c r="T67" s="759"/>
      <c r="U67" s="824"/>
      <c r="V67" s="822">
        <f>SUM(F67:P67)</f>
        <v>270190</v>
      </c>
    </row>
    <row r="68" spans="1:23" s="189" customFormat="1" ht="12">
      <c r="A68" s="248"/>
      <c r="B68" s="977" t="s">
        <v>1149</v>
      </c>
      <c r="C68" s="190"/>
      <c r="D68" s="190"/>
      <c r="E68" s="242"/>
      <c r="F68" s="242"/>
      <c r="G68" s="190"/>
      <c r="H68" s="190"/>
      <c r="I68" s="242"/>
      <c r="J68" s="242"/>
      <c r="K68" s="190"/>
      <c r="L68" s="190"/>
      <c r="M68" s="242"/>
      <c r="N68" s="242"/>
      <c r="O68" s="242"/>
      <c r="P68" s="242"/>
      <c r="Q68" s="242"/>
      <c r="R68" s="190"/>
      <c r="S68" s="262"/>
      <c r="T68" s="191"/>
      <c r="U68" s="435"/>
      <c r="V68" s="190"/>
      <c r="W68" s="190"/>
    </row>
    <row r="69" spans="1:23" s="189" customFormat="1" ht="16.5">
      <c r="A69" s="248">
        <v>1</v>
      </c>
      <c r="B69" s="242" t="s">
        <v>59</v>
      </c>
      <c r="C69" s="190">
        <v>31</v>
      </c>
      <c r="D69" s="190">
        <v>2</v>
      </c>
      <c r="E69" s="190">
        <v>693.55</v>
      </c>
      <c r="F69" s="243">
        <f>C69*D69*E69</f>
        <v>43000</v>
      </c>
      <c r="G69" s="190">
        <v>31</v>
      </c>
      <c r="H69" s="190">
        <v>3</v>
      </c>
      <c r="I69" s="190">
        <v>300</v>
      </c>
      <c r="J69" s="236">
        <f>G69*H69*I69</f>
        <v>27900</v>
      </c>
      <c r="K69" s="190">
        <v>31</v>
      </c>
      <c r="L69" s="190">
        <v>3</v>
      </c>
      <c r="M69" s="190">
        <v>180</v>
      </c>
      <c r="N69" s="236">
        <f>K69*L69*M69</f>
        <v>16740</v>
      </c>
      <c r="O69" s="236">
        <v>50000</v>
      </c>
      <c r="P69" s="236"/>
      <c r="Q69" s="236">
        <f>SUM(F69:F70,J69:J70,N69:N70,O69)</f>
        <v>143840</v>
      </c>
      <c r="R69" s="190"/>
      <c r="S69" s="190"/>
      <c r="T69" s="191"/>
      <c r="U69" s="435" t="s">
        <v>642</v>
      </c>
      <c r="V69" s="190"/>
      <c r="W69" s="190"/>
    </row>
    <row r="70" spans="1:23" s="189" customFormat="1" ht="12">
      <c r="A70" s="326"/>
      <c r="B70" s="261"/>
      <c r="C70" s="327"/>
      <c r="D70" s="327"/>
      <c r="E70" s="327"/>
      <c r="F70" s="238"/>
      <c r="G70" s="327"/>
      <c r="H70" s="327"/>
      <c r="I70" s="327"/>
      <c r="J70" s="238"/>
      <c r="K70" s="327">
        <v>31</v>
      </c>
      <c r="L70" s="327">
        <v>2</v>
      </c>
      <c r="M70" s="327">
        <v>100</v>
      </c>
      <c r="N70" s="238">
        <f>K70*L70*M70</f>
        <v>6200</v>
      </c>
      <c r="O70" s="238"/>
      <c r="P70" s="238"/>
      <c r="Q70" s="238"/>
      <c r="R70" s="190"/>
      <c r="S70" s="190"/>
      <c r="T70" s="191"/>
      <c r="U70" s="435"/>
      <c r="V70" s="190"/>
      <c r="W70" s="190"/>
    </row>
    <row r="71" spans="1:21" s="190" customFormat="1" ht="12" customHeight="1">
      <c r="A71" s="326">
        <v>2</v>
      </c>
      <c r="B71" s="261" t="s">
        <v>341</v>
      </c>
      <c r="C71" s="514"/>
      <c r="D71" s="327"/>
      <c r="E71" s="261"/>
      <c r="F71" s="261"/>
      <c r="G71" s="327"/>
      <c r="H71" s="327"/>
      <c r="I71" s="261"/>
      <c r="J71" s="261"/>
      <c r="K71" s="327">
        <v>13</v>
      </c>
      <c r="L71" s="327">
        <v>7</v>
      </c>
      <c r="M71" s="261">
        <v>100</v>
      </c>
      <c r="N71" s="261">
        <f>K71*L71*M71</f>
        <v>9100</v>
      </c>
      <c r="O71" s="238"/>
      <c r="P71" s="238">
        <v>14000</v>
      </c>
      <c r="Q71" s="331">
        <f>SUM(N71:P71)</f>
        <v>23100</v>
      </c>
      <c r="S71" s="262"/>
      <c r="T71" s="191"/>
      <c r="U71" s="244" t="s">
        <v>1260</v>
      </c>
    </row>
    <row r="72" spans="1:23" s="189" customFormat="1" ht="24" customHeight="1">
      <c r="A72" s="249">
        <v>3</v>
      </c>
      <c r="B72" s="251" t="s">
        <v>911</v>
      </c>
      <c r="C72" s="258">
        <v>2</v>
      </c>
      <c r="D72" s="251">
        <v>2</v>
      </c>
      <c r="E72" s="250">
        <v>7000</v>
      </c>
      <c r="F72" s="242">
        <f>D72*E72*C72</f>
        <v>28000</v>
      </c>
      <c r="G72" s="251"/>
      <c r="H72" s="251"/>
      <c r="I72" s="251"/>
      <c r="J72" s="252"/>
      <c r="K72" s="251"/>
      <c r="L72" s="251"/>
      <c r="M72" s="250"/>
      <c r="N72" s="250"/>
      <c r="O72" s="242"/>
      <c r="P72" s="242"/>
      <c r="Q72" s="242">
        <f>F72</f>
        <v>28000</v>
      </c>
      <c r="R72" s="190"/>
      <c r="S72" s="262"/>
      <c r="T72" s="191" t="s">
        <v>541</v>
      </c>
      <c r="U72" s="435" t="s">
        <v>318</v>
      </c>
      <c r="V72" s="190"/>
      <c r="W72" s="190"/>
    </row>
    <row r="73" spans="1:23" s="189" customFormat="1" ht="12.75" customHeight="1">
      <c r="A73" s="326"/>
      <c r="B73" s="327" t="s">
        <v>909</v>
      </c>
      <c r="C73" s="514"/>
      <c r="D73" s="327"/>
      <c r="E73" s="261"/>
      <c r="F73" s="242">
        <f>D73*E73</f>
        <v>0</v>
      </c>
      <c r="G73" s="327"/>
      <c r="H73" s="327"/>
      <c r="I73" s="327"/>
      <c r="J73" s="238"/>
      <c r="K73" s="327"/>
      <c r="L73" s="327"/>
      <c r="M73" s="261"/>
      <c r="N73" s="261"/>
      <c r="O73" s="261"/>
      <c r="P73" s="261"/>
      <c r="Q73" s="238"/>
      <c r="R73" s="190"/>
      <c r="S73" s="262"/>
      <c r="T73" s="191"/>
      <c r="U73" s="435"/>
      <c r="V73" s="190"/>
      <c r="W73" s="190"/>
    </row>
    <row r="74" spans="1:23" s="189" customFormat="1" ht="30.75" customHeight="1">
      <c r="A74" s="274">
        <v>4</v>
      </c>
      <c r="B74" s="261" t="s">
        <v>385</v>
      </c>
      <c r="C74" s="825" t="s">
        <v>1777</v>
      </c>
      <c r="D74" s="190">
        <v>10</v>
      </c>
      <c r="E74" s="265">
        <v>300</v>
      </c>
      <c r="F74" s="242">
        <f>D74*E74</f>
        <v>3000</v>
      </c>
      <c r="G74" s="190"/>
      <c r="H74" s="190"/>
      <c r="I74" s="190"/>
      <c r="J74" s="236"/>
      <c r="K74" s="190"/>
      <c r="L74" s="190"/>
      <c r="M74" s="261"/>
      <c r="N74" s="242">
        <f>K74*L74*M74</f>
        <v>0</v>
      </c>
      <c r="O74" s="264"/>
      <c r="P74" s="264"/>
      <c r="Q74" s="264">
        <f>SUM(F74,J74,N74)</f>
        <v>3000</v>
      </c>
      <c r="R74" s="190"/>
      <c r="S74" s="262"/>
      <c r="T74" s="191"/>
      <c r="U74" s="435"/>
      <c r="V74" s="190"/>
      <c r="W74" s="190"/>
    </row>
    <row r="75" spans="1:23" s="189" customFormat="1" ht="11.25" customHeight="1">
      <c r="A75" s="248">
        <v>5</v>
      </c>
      <c r="B75" s="250" t="s">
        <v>712</v>
      </c>
      <c r="C75" s="251">
        <v>2</v>
      </c>
      <c r="D75" s="251">
        <v>2</v>
      </c>
      <c r="E75" s="251">
        <v>1000</v>
      </c>
      <c r="F75" s="252">
        <f>C75*D75*E75</f>
        <v>4000</v>
      </c>
      <c r="G75" s="251">
        <v>2</v>
      </c>
      <c r="H75" s="251">
        <v>3</v>
      </c>
      <c r="I75" s="251">
        <v>300</v>
      </c>
      <c r="J75" s="252">
        <f>G75*H75*I75</f>
        <v>1800</v>
      </c>
      <c r="K75" s="251">
        <v>2</v>
      </c>
      <c r="L75" s="251">
        <v>3</v>
      </c>
      <c r="M75" s="251">
        <v>180</v>
      </c>
      <c r="N75" s="252">
        <f>K75*L75*M75</f>
        <v>1080</v>
      </c>
      <c r="O75" s="236"/>
      <c r="P75" s="242"/>
      <c r="Q75" s="242">
        <f>SUM(F75,J75,N75:N76)</f>
        <v>7680</v>
      </c>
      <c r="R75" s="190"/>
      <c r="S75" s="262"/>
      <c r="T75" s="191"/>
      <c r="U75" s="435" t="s">
        <v>318</v>
      </c>
      <c r="V75" s="190"/>
      <c r="W75" s="190"/>
    </row>
    <row r="76" spans="1:23" s="189" customFormat="1" ht="11.25" customHeight="1">
      <c r="A76" s="326"/>
      <c r="B76" s="261" t="s">
        <v>728</v>
      </c>
      <c r="C76" s="327"/>
      <c r="D76" s="327"/>
      <c r="E76" s="327"/>
      <c r="F76" s="238"/>
      <c r="G76" s="327"/>
      <c r="H76" s="327"/>
      <c r="I76" s="327"/>
      <c r="J76" s="238"/>
      <c r="K76" s="327">
        <v>2</v>
      </c>
      <c r="L76" s="327">
        <v>4</v>
      </c>
      <c r="M76" s="327">
        <v>100</v>
      </c>
      <c r="N76" s="238">
        <f>K76*L76*M76</f>
        <v>800</v>
      </c>
      <c r="O76" s="238"/>
      <c r="P76" s="238"/>
      <c r="Q76" s="238"/>
      <c r="R76" s="327"/>
      <c r="S76" s="514"/>
      <c r="T76" s="263"/>
      <c r="U76" s="435"/>
      <c r="V76" s="190"/>
      <c r="W76" s="190"/>
    </row>
    <row r="77" spans="1:23" s="189" customFormat="1" ht="11.25" customHeight="1">
      <c r="A77" s="249">
        <v>6</v>
      </c>
      <c r="B77" s="1935" t="s">
        <v>61</v>
      </c>
      <c r="C77" s="251">
        <v>3</v>
      </c>
      <c r="D77" s="251">
        <v>2</v>
      </c>
      <c r="E77" s="251">
        <v>3000</v>
      </c>
      <c r="F77" s="252">
        <f>C77*D77*E77</f>
        <v>18000</v>
      </c>
      <c r="G77" s="251">
        <v>3</v>
      </c>
      <c r="H77" s="251">
        <v>15</v>
      </c>
      <c r="I77" s="251">
        <v>500</v>
      </c>
      <c r="J77" s="252">
        <f aca="true" t="shared" si="3" ref="J77:J88">G77*H77*I77</f>
        <v>22500</v>
      </c>
      <c r="K77" s="251"/>
      <c r="L77" s="251"/>
      <c r="M77" s="251"/>
      <c r="N77" s="252">
        <f>K77*L77*M77</f>
        <v>0</v>
      </c>
      <c r="O77" s="236"/>
      <c r="P77" s="242"/>
      <c r="Q77" s="242">
        <f>SUM(F77,J77,N77:N78)</f>
        <v>40500</v>
      </c>
      <c r="R77" s="190"/>
      <c r="S77" s="262"/>
      <c r="T77" s="191"/>
      <c r="U77" s="435" t="s">
        <v>318</v>
      </c>
      <c r="V77" s="190"/>
      <c r="W77" s="190"/>
    </row>
    <row r="78" spans="1:23" s="189" customFormat="1" ht="11.25" customHeight="1">
      <c r="A78" s="326"/>
      <c r="B78" s="1936"/>
      <c r="C78" s="327"/>
      <c r="D78" s="327"/>
      <c r="E78" s="327"/>
      <c r="F78" s="238"/>
      <c r="G78" s="327"/>
      <c r="H78" s="327"/>
      <c r="I78" s="327"/>
      <c r="J78" s="238"/>
      <c r="K78" s="327"/>
      <c r="L78" s="327"/>
      <c r="M78" s="327"/>
      <c r="N78" s="238"/>
      <c r="O78" s="238"/>
      <c r="P78" s="238"/>
      <c r="Q78" s="238"/>
      <c r="R78" s="190"/>
      <c r="S78" s="262"/>
      <c r="T78" s="191"/>
      <c r="U78" s="435" t="s">
        <v>318</v>
      </c>
      <c r="V78" s="190"/>
      <c r="W78" s="190"/>
    </row>
    <row r="79" spans="1:23" s="189" customFormat="1" ht="24" customHeight="1">
      <c r="A79" s="249">
        <v>7</v>
      </c>
      <c r="B79" s="250" t="s">
        <v>354</v>
      </c>
      <c r="C79" s="251" t="s">
        <v>318</v>
      </c>
      <c r="D79" s="251">
        <v>0</v>
      </c>
      <c r="E79" s="265">
        <v>0</v>
      </c>
      <c r="F79" s="265">
        <f>D79*E79*2</f>
        <v>0</v>
      </c>
      <c r="G79" s="251"/>
      <c r="H79" s="251"/>
      <c r="I79" s="251"/>
      <c r="J79" s="252">
        <f t="shared" si="3"/>
        <v>0</v>
      </c>
      <c r="K79" s="251"/>
      <c r="L79" s="251"/>
      <c r="M79" s="251"/>
      <c r="N79" s="252">
        <f aca="true" t="shared" si="4" ref="N79:N89">K79*L79*M79</f>
        <v>0</v>
      </c>
      <c r="O79" s="264"/>
      <c r="P79" s="264">
        <v>4000</v>
      </c>
      <c r="Q79" s="264">
        <f>P79</f>
        <v>4000</v>
      </c>
      <c r="R79" s="190"/>
      <c r="S79" s="262"/>
      <c r="T79" s="191"/>
      <c r="U79" s="435" t="s">
        <v>532</v>
      </c>
      <c r="V79" s="190"/>
      <c r="W79" s="190"/>
    </row>
    <row r="80" spans="1:23" s="189" customFormat="1" ht="23.25" customHeight="1">
      <c r="A80" s="274">
        <v>8</v>
      </c>
      <c r="B80" s="265" t="s">
        <v>355</v>
      </c>
      <c r="C80" s="266" t="s">
        <v>318</v>
      </c>
      <c r="D80" s="266">
        <v>0</v>
      </c>
      <c r="E80" s="265">
        <v>0</v>
      </c>
      <c r="F80" s="265">
        <f>D80*E80*2</f>
        <v>0</v>
      </c>
      <c r="G80" s="266"/>
      <c r="H80" s="266"/>
      <c r="I80" s="266">
        <v>0</v>
      </c>
      <c r="J80" s="264">
        <f t="shared" si="3"/>
        <v>0</v>
      </c>
      <c r="K80" s="266"/>
      <c r="L80" s="266"/>
      <c r="M80" s="266"/>
      <c r="N80" s="264">
        <f t="shared" si="4"/>
        <v>0</v>
      </c>
      <c r="O80" s="264"/>
      <c r="P80" s="264">
        <v>4000</v>
      </c>
      <c r="Q80" s="264">
        <f>P80</f>
        <v>4000</v>
      </c>
      <c r="R80" s="190"/>
      <c r="S80" s="262"/>
      <c r="T80" s="191"/>
      <c r="U80" s="435" t="s">
        <v>533</v>
      </c>
      <c r="V80" s="190"/>
      <c r="W80" s="190"/>
    </row>
    <row r="81" spans="1:21" s="190" customFormat="1" ht="11.25" customHeight="1">
      <c r="A81" s="248">
        <v>9</v>
      </c>
      <c r="B81" s="1935" t="s">
        <v>62</v>
      </c>
      <c r="C81" s="190">
        <v>2</v>
      </c>
      <c r="D81" s="190">
        <v>2</v>
      </c>
      <c r="E81" s="242">
        <v>9000</v>
      </c>
      <c r="F81" s="243">
        <f>C81*D81*E81</f>
        <v>36000</v>
      </c>
      <c r="G81" s="190">
        <v>2</v>
      </c>
      <c r="H81" s="190">
        <v>4</v>
      </c>
      <c r="I81" s="242">
        <v>550</v>
      </c>
      <c r="J81" s="236">
        <f>G81*H81*I81</f>
        <v>4400</v>
      </c>
      <c r="K81" s="190">
        <v>2</v>
      </c>
      <c r="L81" s="190">
        <v>3</v>
      </c>
      <c r="M81" s="242">
        <v>180</v>
      </c>
      <c r="N81" s="242">
        <f t="shared" si="4"/>
        <v>1080</v>
      </c>
      <c r="O81" s="242" t="s">
        <v>318</v>
      </c>
      <c r="P81" s="242"/>
      <c r="Q81" s="259">
        <f>SUM(F81,J81,N81:O82)</f>
        <v>42080</v>
      </c>
      <c r="S81" s="262"/>
      <c r="T81" s="191"/>
      <c r="U81" s="435"/>
    </row>
    <row r="82" spans="1:21" s="190" customFormat="1" ht="12">
      <c r="A82" s="326"/>
      <c r="B82" s="1936"/>
      <c r="C82" s="327"/>
      <c r="D82" s="327"/>
      <c r="E82" s="261"/>
      <c r="F82" s="238"/>
      <c r="G82" s="327"/>
      <c r="H82" s="327"/>
      <c r="I82" s="261"/>
      <c r="J82" s="238"/>
      <c r="K82" s="327">
        <v>2</v>
      </c>
      <c r="L82" s="327">
        <v>3</v>
      </c>
      <c r="M82" s="261">
        <v>100</v>
      </c>
      <c r="N82" s="238">
        <f t="shared" si="4"/>
        <v>600</v>
      </c>
      <c r="O82" s="238"/>
      <c r="P82" s="238"/>
      <c r="Q82" s="238"/>
      <c r="S82" s="262"/>
      <c r="T82" s="191"/>
      <c r="U82" s="435"/>
    </row>
    <row r="83" spans="1:21" s="190" customFormat="1" ht="24">
      <c r="A83" s="248">
        <v>10</v>
      </c>
      <c r="B83" s="242" t="s">
        <v>1621</v>
      </c>
      <c r="C83" s="190">
        <v>2</v>
      </c>
      <c r="D83" s="190">
        <v>2</v>
      </c>
      <c r="E83" s="242">
        <v>6000</v>
      </c>
      <c r="F83" s="236">
        <f>C83*D83*E83</f>
        <v>24000</v>
      </c>
      <c r="G83" s="190">
        <v>2</v>
      </c>
      <c r="H83" s="190">
        <v>3</v>
      </c>
      <c r="I83" s="242">
        <v>350</v>
      </c>
      <c r="J83" s="236">
        <f>G83*H83*I83</f>
        <v>2100</v>
      </c>
      <c r="K83" s="190">
        <v>2</v>
      </c>
      <c r="L83" s="190">
        <v>3</v>
      </c>
      <c r="M83" s="242">
        <v>180</v>
      </c>
      <c r="N83" s="242">
        <f t="shared" si="4"/>
        <v>1080</v>
      </c>
      <c r="O83" s="242" t="s">
        <v>318</v>
      </c>
      <c r="P83" s="242"/>
      <c r="Q83" s="242">
        <f>SUM(F83,J83,N83:O84)</f>
        <v>28780</v>
      </c>
      <c r="S83" s="262"/>
      <c r="T83" s="191"/>
      <c r="U83" s="435"/>
    </row>
    <row r="84" spans="1:21" s="190" customFormat="1" ht="12">
      <c r="A84" s="326"/>
      <c r="B84" s="261" t="s">
        <v>270</v>
      </c>
      <c r="C84" s="327"/>
      <c r="D84" s="327"/>
      <c r="E84" s="261"/>
      <c r="F84" s="238"/>
      <c r="G84" s="327"/>
      <c r="H84" s="327"/>
      <c r="I84" s="261"/>
      <c r="J84" s="238"/>
      <c r="K84" s="327">
        <v>2</v>
      </c>
      <c r="L84" s="327">
        <v>8</v>
      </c>
      <c r="M84" s="261">
        <v>100</v>
      </c>
      <c r="N84" s="238">
        <f t="shared" si="4"/>
        <v>1600</v>
      </c>
      <c r="O84" s="238"/>
      <c r="P84" s="238"/>
      <c r="Q84" s="238"/>
      <c r="R84" s="327"/>
      <c r="S84" s="514"/>
      <c r="T84" s="263"/>
      <c r="U84" s="435"/>
    </row>
    <row r="85" spans="1:23" s="189" customFormat="1" ht="22.5" customHeight="1">
      <c r="A85" s="248">
        <v>11</v>
      </c>
      <c r="B85" s="242" t="s">
        <v>1371</v>
      </c>
      <c r="C85" s="190">
        <v>3</v>
      </c>
      <c r="D85" s="190">
        <v>2</v>
      </c>
      <c r="E85" s="190">
        <v>600</v>
      </c>
      <c r="F85" s="236">
        <f>C85*D85*E85</f>
        <v>3600</v>
      </c>
      <c r="G85" s="190">
        <v>3</v>
      </c>
      <c r="H85" s="190">
        <v>5</v>
      </c>
      <c r="I85" s="190">
        <v>300</v>
      </c>
      <c r="J85" s="236">
        <f>G85*H85*I85</f>
        <v>4500</v>
      </c>
      <c r="K85" s="190">
        <v>3</v>
      </c>
      <c r="L85" s="190">
        <v>5</v>
      </c>
      <c r="M85" s="190">
        <v>180</v>
      </c>
      <c r="N85" s="236">
        <f t="shared" si="4"/>
        <v>2700</v>
      </c>
      <c r="O85" s="236"/>
      <c r="P85" s="242"/>
      <c r="Q85" s="242">
        <f>SUM(F85,J85,N85:N86)</f>
        <v>11400</v>
      </c>
      <c r="R85" s="190"/>
      <c r="S85" s="262"/>
      <c r="T85" s="191" t="s">
        <v>541</v>
      </c>
      <c r="U85" s="435" t="s">
        <v>318</v>
      </c>
      <c r="V85" s="190"/>
      <c r="W85" s="190"/>
    </row>
    <row r="86" spans="1:23" s="189" customFormat="1" ht="11.25" customHeight="1">
      <c r="A86" s="326"/>
      <c r="B86" s="261" t="s">
        <v>1027</v>
      </c>
      <c r="C86" s="327"/>
      <c r="D86" s="327"/>
      <c r="E86" s="327"/>
      <c r="F86" s="238"/>
      <c r="G86" s="327"/>
      <c r="H86" s="327"/>
      <c r="I86" s="327"/>
      <c r="J86" s="236">
        <f t="shared" si="3"/>
        <v>0</v>
      </c>
      <c r="K86" s="327">
        <v>3</v>
      </c>
      <c r="L86" s="327">
        <v>2</v>
      </c>
      <c r="M86" s="327">
        <v>100</v>
      </c>
      <c r="N86" s="238">
        <f t="shared" si="4"/>
        <v>600</v>
      </c>
      <c r="O86" s="238"/>
      <c r="P86" s="238"/>
      <c r="Q86" s="238"/>
      <c r="R86" s="190"/>
      <c r="S86" s="262"/>
      <c r="T86" s="191"/>
      <c r="U86" s="435" t="s">
        <v>318</v>
      </c>
      <c r="V86" s="190"/>
      <c r="W86" s="190"/>
    </row>
    <row r="87" spans="1:23" s="189" customFormat="1" ht="11.25" customHeight="1">
      <c r="A87" s="248">
        <v>12</v>
      </c>
      <c r="B87" s="251" t="s">
        <v>470</v>
      </c>
      <c r="C87" s="190">
        <v>1</v>
      </c>
      <c r="D87" s="190">
        <v>2</v>
      </c>
      <c r="E87" s="190">
        <v>1200</v>
      </c>
      <c r="F87" s="252">
        <f>C87*D87*E87</f>
        <v>2400</v>
      </c>
      <c r="G87" s="190">
        <v>1</v>
      </c>
      <c r="H87" s="190">
        <v>4</v>
      </c>
      <c r="I87" s="190">
        <v>350</v>
      </c>
      <c r="J87" s="252">
        <f t="shared" si="3"/>
        <v>1400</v>
      </c>
      <c r="K87" s="190">
        <v>1</v>
      </c>
      <c r="L87" s="190">
        <v>2</v>
      </c>
      <c r="M87" s="190">
        <v>100</v>
      </c>
      <c r="N87" s="236">
        <f t="shared" si="4"/>
        <v>200</v>
      </c>
      <c r="O87" s="236"/>
      <c r="P87" s="236"/>
      <c r="Q87" s="252">
        <f>SUM(F87,J87,N87:N88)</f>
        <v>4900</v>
      </c>
      <c r="R87" s="190"/>
      <c r="S87" s="262"/>
      <c r="T87" s="191"/>
      <c r="U87" s="435"/>
      <c r="V87" s="190"/>
      <c r="W87" s="190"/>
    </row>
    <row r="88" spans="1:23" s="189" customFormat="1" ht="11.25" customHeight="1">
      <c r="A88" s="248"/>
      <c r="B88" s="251" t="s">
        <v>318</v>
      </c>
      <c r="C88" s="190"/>
      <c r="D88" s="190"/>
      <c r="E88" s="190"/>
      <c r="F88" s="252">
        <f>C88*D88*E88</f>
        <v>0</v>
      </c>
      <c r="G88" s="190"/>
      <c r="H88" s="190"/>
      <c r="I88" s="190"/>
      <c r="J88" s="252">
        <f t="shared" si="3"/>
        <v>0</v>
      </c>
      <c r="K88" s="190">
        <v>1</v>
      </c>
      <c r="L88" s="190">
        <v>5</v>
      </c>
      <c r="M88" s="190">
        <v>180</v>
      </c>
      <c r="N88" s="236">
        <f t="shared" si="4"/>
        <v>900</v>
      </c>
      <c r="O88" s="236"/>
      <c r="P88" s="236"/>
      <c r="Q88" s="252">
        <v>0</v>
      </c>
      <c r="R88" s="190"/>
      <c r="S88" s="262"/>
      <c r="T88" s="191"/>
      <c r="U88" s="435"/>
      <c r="V88" s="190"/>
      <c r="W88" s="190"/>
    </row>
    <row r="89" spans="1:21" s="190" customFormat="1" ht="31.5" customHeight="1" thickBot="1">
      <c r="A89" s="248">
        <v>13</v>
      </c>
      <c r="B89" s="261" t="s">
        <v>63</v>
      </c>
      <c r="C89" s="190">
        <v>8</v>
      </c>
      <c r="D89" s="190">
        <v>2</v>
      </c>
      <c r="E89" s="190">
        <v>300</v>
      </c>
      <c r="F89" s="236">
        <f>C89*D89*E89</f>
        <v>4800</v>
      </c>
      <c r="G89" s="190">
        <v>8</v>
      </c>
      <c r="H89" s="190">
        <v>4</v>
      </c>
      <c r="I89" s="190">
        <v>300</v>
      </c>
      <c r="J89" s="236">
        <f>G89*H89*I89</f>
        <v>9600</v>
      </c>
      <c r="K89" s="190">
        <v>8</v>
      </c>
      <c r="L89" s="190">
        <v>5</v>
      </c>
      <c r="M89" s="261">
        <v>180</v>
      </c>
      <c r="N89" s="261">
        <f t="shared" si="4"/>
        <v>7200</v>
      </c>
      <c r="O89" s="242" t="s">
        <v>318</v>
      </c>
      <c r="P89" s="242"/>
      <c r="Q89" s="242">
        <f>SUM(F89,J89,N89:O89)</f>
        <v>21600</v>
      </c>
      <c r="S89" s="262"/>
      <c r="T89" s="191"/>
      <c r="U89" s="666" t="s">
        <v>158</v>
      </c>
    </row>
    <row r="90" spans="1:22" s="783" customFormat="1" ht="12.75" customHeight="1" thickBot="1">
      <c r="A90" s="775"/>
      <c r="B90" s="777" t="s">
        <v>1783</v>
      </c>
      <c r="C90" s="776"/>
      <c r="D90" s="776"/>
      <c r="E90" s="777"/>
      <c r="F90" s="759">
        <f>SUM(F68:F89)</f>
        <v>166800</v>
      </c>
      <c r="G90" s="759"/>
      <c r="H90" s="759"/>
      <c r="I90" s="759"/>
      <c r="J90" s="759">
        <f>SUM(J68:J89)</f>
        <v>74200</v>
      </c>
      <c r="K90" s="759"/>
      <c r="L90" s="759"/>
      <c r="M90" s="759"/>
      <c r="N90" s="759">
        <f>SUM(N68:N89)</f>
        <v>49880</v>
      </c>
      <c r="O90" s="759">
        <f>SUM(O68:O89)</f>
        <v>50000</v>
      </c>
      <c r="P90" s="759">
        <f>SUM(P68:P89)</f>
        <v>22000</v>
      </c>
      <c r="Q90" s="759">
        <f>SUM(Q69:Q89)</f>
        <v>362880</v>
      </c>
      <c r="R90" s="774"/>
      <c r="S90" s="786"/>
      <c r="T90" s="759"/>
      <c r="U90" s="824"/>
      <c r="V90" s="822">
        <f>SUM(F90:P90)</f>
        <v>362880</v>
      </c>
    </row>
    <row r="91" spans="1:23" s="189" customFormat="1" ht="12">
      <c r="A91" s="248"/>
      <c r="B91" s="975" t="s">
        <v>1150</v>
      </c>
      <c r="C91" s="190"/>
      <c r="D91" s="190"/>
      <c r="E91" s="242"/>
      <c r="F91" s="242"/>
      <c r="G91" s="190"/>
      <c r="H91" s="190"/>
      <c r="I91" s="242"/>
      <c r="J91" s="242"/>
      <c r="K91" s="190"/>
      <c r="L91" s="190"/>
      <c r="M91" s="242"/>
      <c r="N91" s="242"/>
      <c r="O91" s="242"/>
      <c r="P91" s="242"/>
      <c r="Q91" s="242"/>
      <c r="R91" s="190"/>
      <c r="S91" s="262"/>
      <c r="T91" s="191"/>
      <c r="U91" s="435"/>
      <c r="V91" s="190"/>
      <c r="W91" s="190"/>
    </row>
    <row r="92" spans="1:23" s="189" customFormat="1" ht="12">
      <c r="A92" s="1941">
        <v>1</v>
      </c>
      <c r="B92" s="1931" t="s">
        <v>60</v>
      </c>
      <c r="C92" s="190">
        <v>15</v>
      </c>
      <c r="D92" s="190">
        <v>2</v>
      </c>
      <c r="E92" s="242">
        <v>1500</v>
      </c>
      <c r="F92" s="242">
        <f>C92*D92*E92</f>
        <v>45000</v>
      </c>
      <c r="G92" s="190">
        <v>15</v>
      </c>
      <c r="H92" s="190">
        <v>3</v>
      </c>
      <c r="I92" s="242">
        <v>300</v>
      </c>
      <c r="J92" s="242">
        <f>G92*H92*I92</f>
        <v>13500</v>
      </c>
      <c r="K92" s="190">
        <v>15</v>
      </c>
      <c r="L92" s="190">
        <v>4</v>
      </c>
      <c r="M92" s="242">
        <v>100</v>
      </c>
      <c r="N92" s="242">
        <f aca="true" t="shared" si="5" ref="N92:N105">K92*L92*M92</f>
        <v>6000</v>
      </c>
      <c r="O92" s="242"/>
      <c r="P92" s="242"/>
      <c r="Q92" s="242">
        <f>SUM(F92,J92,N92:N93)</f>
        <v>72600</v>
      </c>
      <c r="R92" s="190"/>
      <c r="S92" s="262"/>
      <c r="T92" s="191"/>
      <c r="U92" s="435"/>
      <c r="V92" s="277"/>
      <c r="W92" s="190"/>
    </row>
    <row r="93" spans="1:23" s="189" customFormat="1" ht="12">
      <c r="A93" s="1940"/>
      <c r="B93" s="1932"/>
      <c r="C93" s="514"/>
      <c r="D93" s="327"/>
      <c r="E93" s="261"/>
      <c r="F93" s="261"/>
      <c r="G93" s="327"/>
      <c r="H93" s="327"/>
      <c r="I93" s="261"/>
      <c r="J93" s="261"/>
      <c r="K93" s="327">
        <v>15</v>
      </c>
      <c r="L93" s="327">
        <v>3</v>
      </c>
      <c r="M93" s="261">
        <v>180</v>
      </c>
      <c r="N93" s="261">
        <f t="shared" si="5"/>
        <v>8100</v>
      </c>
      <c r="O93" s="261"/>
      <c r="P93" s="261"/>
      <c r="Q93" s="261"/>
      <c r="R93" s="190"/>
      <c r="S93" s="262"/>
      <c r="T93" s="191"/>
      <c r="U93" s="435"/>
      <c r="V93" s="277"/>
      <c r="W93" s="190"/>
    </row>
    <row r="94" spans="1:21" s="190" customFormat="1" ht="12">
      <c r="A94" s="248">
        <v>2</v>
      </c>
      <c r="B94" s="242" t="s">
        <v>515</v>
      </c>
      <c r="C94" s="190">
        <v>5</v>
      </c>
      <c r="D94" s="190">
        <v>2</v>
      </c>
      <c r="E94" s="190">
        <v>1100</v>
      </c>
      <c r="F94" s="236">
        <f>C94*D94*E94</f>
        <v>11000</v>
      </c>
      <c r="G94" s="190">
        <v>5</v>
      </c>
      <c r="H94" s="190">
        <v>4</v>
      </c>
      <c r="I94" s="190">
        <v>300</v>
      </c>
      <c r="J94" s="236">
        <f>G94*H94*I94</f>
        <v>6000</v>
      </c>
      <c r="K94" s="190">
        <v>5</v>
      </c>
      <c r="L94" s="190">
        <v>4</v>
      </c>
      <c r="M94" s="190">
        <v>180</v>
      </c>
      <c r="N94" s="236">
        <f t="shared" si="5"/>
        <v>3600</v>
      </c>
      <c r="O94" s="262"/>
      <c r="P94" s="262"/>
      <c r="Q94" s="252">
        <f>SUM(F94,J94,N94:N95)</f>
        <v>22600</v>
      </c>
      <c r="S94" s="262"/>
      <c r="T94" s="191"/>
      <c r="U94" s="435"/>
    </row>
    <row r="95" spans="1:21" s="190" customFormat="1" ht="12">
      <c r="A95" s="326"/>
      <c r="B95" s="261" t="s">
        <v>949</v>
      </c>
      <c r="C95" s="327"/>
      <c r="D95" s="327"/>
      <c r="E95" s="327"/>
      <c r="F95" s="238"/>
      <c r="G95" s="327"/>
      <c r="H95" s="327"/>
      <c r="I95" s="327"/>
      <c r="J95" s="238"/>
      <c r="K95" s="327">
        <v>5</v>
      </c>
      <c r="L95" s="327">
        <v>4</v>
      </c>
      <c r="M95" s="261">
        <v>100</v>
      </c>
      <c r="N95" s="261">
        <f t="shared" si="5"/>
        <v>2000</v>
      </c>
      <c r="O95" s="261"/>
      <c r="P95" s="261"/>
      <c r="Q95" s="261"/>
      <c r="R95" s="327"/>
      <c r="S95" s="514"/>
      <c r="T95" s="263"/>
      <c r="U95" s="435"/>
    </row>
    <row r="96" spans="1:21" s="190" customFormat="1" ht="24">
      <c r="A96" s="248">
        <v>3</v>
      </c>
      <c r="B96" s="242" t="s">
        <v>324</v>
      </c>
      <c r="F96" s="236">
        <v>4200</v>
      </c>
      <c r="G96" s="190">
        <v>7</v>
      </c>
      <c r="H96" s="190">
        <v>4</v>
      </c>
      <c r="I96" s="190">
        <v>300</v>
      </c>
      <c r="J96" s="236">
        <f>G96*H96*I96</f>
        <v>8400</v>
      </c>
      <c r="K96" s="190">
        <v>7</v>
      </c>
      <c r="L96" s="190">
        <v>2</v>
      </c>
      <c r="M96" s="242">
        <v>100</v>
      </c>
      <c r="N96" s="242">
        <f t="shared" si="5"/>
        <v>1400</v>
      </c>
      <c r="O96" s="242"/>
      <c r="P96" s="242"/>
      <c r="Q96" s="252">
        <f>SUM(F96,J96,N96:N97)</f>
        <v>20300</v>
      </c>
      <c r="S96" s="262"/>
      <c r="T96" s="191"/>
      <c r="U96" s="435"/>
    </row>
    <row r="97" spans="1:21" s="190" customFormat="1" ht="12">
      <c r="A97" s="326"/>
      <c r="B97" s="261" t="s">
        <v>325</v>
      </c>
      <c r="C97" s="327"/>
      <c r="D97" s="327"/>
      <c r="E97" s="327"/>
      <c r="F97" s="238"/>
      <c r="G97" s="327"/>
      <c r="H97" s="327"/>
      <c r="I97" s="327"/>
      <c r="J97" s="238"/>
      <c r="K97" s="327">
        <v>7</v>
      </c>
      <c r="L97" s="327">
        <v>5</v>
      </c>
      <c r="M97" s="261">
        <v>180</v>
      </c>
      <c r="N97" s="261">
        <f t="shared" si="5"/>
        <v>6300</v>
      </c>
      <c r="O97" s="261"/>
      <c r="P97" s="261"/>
      <c r="Q97" s="261"/>
      <c r="R97" s="327"/>
      <c r="S97" s="514"/>
      <c r="T97" s="191"/>
      <c r="U97" s="435"/>
    </row>
    <row r="98" spans="1:23" s="189" customFormat="1" ht="11.25" customHeight="1">
      <c r="A98" s="249">
        <v>4</v>
      </c>
      <c r="B98" s="1935" t="s">
        <v>159</v>
      </c>
      <c r="C98" s="251">
        <v>4</v>
      </c>
      <c r="D98" s="251">
        <v>2</v>
      </c>
      <c r="E98" s="251">
        <v>1600</v>
      </c>
      <c r="F98" s="252">
        <f>C98*D98*E98</f>
        <v>12800</v>
      </c>
      <c r="G98" s="251">
        <v>4</v>
      </c>
      <c r="H98" s="251">
        <v>3</v>
      </c>
      <c r="I98" s="251">
        <v>400</v>
      </c>
      <c r="J98" s="252">
        <f>G98*H98*I98</f>
        <v>4800</v>
      </c>
      <c r="K98" s="251">
        <v>4</v>
      </c>
      <c r="L98" s="251">
        <v>2</v>
      </c>
      <c r="M98" s="251">
        <v>180</v>
      </c>
      <c r="N98" s="252">
        <f t="shared" si="5"/>
        <v>1440</v>
      </c>
      <c r="O98" s="236"/>
      <c r="P98" s="236"/>
      <c r="Q98" s="252">
        <f>SUM(F98,J98,N98:N99)</f>
        <v>21040</v>
      </c>
      <c r="R98" s="190"/>
      <c r="S98" s="262"/>
      <c r="T98" s="191"/>
      <c r="U98" s="435" t="s">
        <v>318</v>
      </c>
      <c r="V98" s="190"/>
      <c r="W98" s="190"/>
    </row>
    <row r="99" spans="1:23" s="189" customFormat="1" ht="11.25" customHeight="1">
      <c r="A99" s="326"/>
      <c r="B99" s="1936"/>
      <c r="C99" s="327"/>
      <c r="D99" s="327"/>
      <c r="E99" s="327"/>
      <c r="F99" s="238"/>
      <c r="G99" s="327"/>
      <c r="H99" s="327"/>
      <c r="I99" s="327"/>
      <c r="J99" s="238">
        <f>G99*H99*I99</f>
        <v>0</v>
      </c>
      <c r="K99" s="327">
        <v>4</v>
      </c>
      <c r="L99" s="327">
        <v>5</v>
      </c>
      <c r="M99" s="327">
        <v>100</v>
      </c>
      <c r="N99" s="238">
        <f t="shared" si="5"/>
        <v>2000</v>
      </c>
      <c r="O99" s="238"/>
      <c r="P99" s="238"/>
      <c r="Q99" s="238"/>
      <c r="R99" s="190"/>
      <c r="S99" s="262"/>
      <c r="T99" s="191"/>
      <c r="U99" s="435" t="s">
        <v>318</v>
      </c>
      <c r="V99" s="190"/>
      <c r="W99" s="190"/>
    </row>
    <row r="100" spans="1:23" s="189" customFormat="1" ht="11.25" customHeight="1">
      <c r="A100" s="248">
        <v>5</v>
      </c>
      <c r="B100" s="1935" t="s">
        <v>471</v>
      </c>
      <c r="C100" s="190">
        <v>4</v>
      </c>
      <c r="D100" s="190">
        <v>2</v>
      </c>
      <c r="E100" s="190">
        <v>1200</v>
      </c>
      <c r="F100" s="252">
        <f>C100*D100*E100</f>
        <v>9600</v>
      </c>
      <c r="G100" s="190">
        <v>4</v>
      </c>
      <c r="H100" s="190">
        <v>2</v>
      </c>
      <c r="I100" s="190">
        <v>450</v>
      </c>
      <c r="J100" s="236">
        <f>G100*H100*I100</f>
        <v>3600</v>
      </c>
      <c r="K100" s="190">
        <v>4</v>
      </c>
      <c r="L100" s="190">
        <v>7</v>
      </c>
      <c r="M100" s="190">
        <v>100</v>
      </c>
      <c r="N100" s="236">
        <f t="shared" si="5"/>
        <v>2800</v>
      </c>
      <c r="O100" s="236"/>
      <c r="P100" s="236"/>
      <c r="Q100" s="252">
        <f>SUM(F100,J100,N100:N101)</f>
        <v>17440</v>
      </c>
      <c r="R100" s="190"/>
      <c r="S100" s="262"/>
      <c r="T100" s="191"/>
      <c r="U100" s="435"/>
      <c r="V100" s="190"/>
      <c r="W100" s="190"/>
    </row>
    <row r="101" spans="1:23" s="189" customFormat="1" ht="11.25" customHeight="1">
      <c r="A101" s="248"/>
      <c r="B101" s="1936"/>
      <c r="C101" s="190"/>
      <c r="D101" s="190"/>
      <c r="E101" s="190"/>
      <c r="F101" s="236"/>
      <c r="G101" s="190"/>
      <c r="H101" s="190"/>
      <c r="I101" s="190"/>
      <c r="J101" s="236"/>
      <c r="K101" s="190">
        <v>4</v>
      </c>
      <c r="L101" s="190">
        <v>2</v>
      </c>
      <c r="M101" s="190">
        <v>180</v>
      </c>
      <c r="N101" s="236">
        <f t="shared" si="5"/>
        <v>1440</v>
      </c>
      <c r="O101" s="238"/>
      <c r="P101" s="236"/>
      <c r="Q101" s="236"/>
      <c r="R101" s="190"/>
      <c r="S101" s="262"/>
      <c r="T101" s="191"/>
      <c r="U101" s="435"/>
      <c r="V101" s="190"/>
      <c r="W101" s="190"/>
    </row>
    <row r="102" spans="1:23" s="189" customFormat="1" ht="11.25" customHeight="1">
      <c r="A102" s="249">
        <v>6</v>
      </c>
      <c r="B102" s="250" t="s">
        <v>147</v>
      </c>
      <c r="C102" s="251">
        <v>3</v>
      </c>
      <c r="D102" s="251">
        <v>2</v>
      </c>
      <c r="E102" s="251">
        <v>1500</v>
      </c>
      <c r="F102" s="252">
        <f>C102*D102*E102</f>
        <v>9000</v>
      </c>
      <c r="G102" s="251">
        <v>3</v>
      </c>
      <c r="H102" s="251">
        <v>3</v>
      </c>
      <c r="I102" s="251">
        <v>300</v>
      </c>
      <c r="J102" s="252">
        <f>G102*H102*I102</f>
        <v>2700</v>
      </c>
      <c r="K102" s="251">
        <v>3</v>
      </c>
      <c r="L102" s="251">
        <v>3</v>
      </c>
      <c r="M102" s="251">
        <v>180</v>
      </c>
      <c r="N102" s="252">
        <f t="shared" si="5"/>
        <v>1620</v>
      </c>
      <c r="O102" s="236"/>
      <c r="P102" s="236"/>
      <c r="Q102" s="252">
        <f>SUM(F102,J102,N102:N103)</f>
        <v>14520</v>
      </c>
      <c r="R102" s="190"/>
      <c r="S102" s="262"/>
      <c r="T102" s="191"/>
      <c r="U102" s="435" t="s">
        <v>318</v>
      </c>
      <c r="V102" s="190"/>
      <c r="W102" s="190"/>
    </row>
    <row r="103" spans="1:23" s="189" customFormat="1" ht="11.25" customHeight="1">
      <c r="A103" s="326"/>
      <c r="B103" s="261" t="s">
        <v>148</v>
      </c>
      <c r="C103" s="327"/>
      <c r="D103" s="327"/>
      <c r="E103" s="327"/>
      <c r="F103" s="238"/>
      <c r="G103" s="327"/>
      <c r="H103" s="327"/>
      <c r="I103" s="327"/>
      <c r="J103" s="238">
        <f>G103*H103*I103</f>
        <v>0</v>
      </c>
      <c r="K103" s="327">
        <v>3</v>
      </c>
      <c r="L103" s="327">
        <v>4</v>
      </c>
      <c r="M103" s="327">
        <v>100</v>
      </c>
      <c r="N103" s="238">
        <f t="shared" si="5"/>
        <v>1200</v>
      </c>
      <c r="O103" s="238"/>
      <c r="P103" s="238"/>
      <c r="Q103" s="238"/>
      <c r="R103" s="327"/>
      <c r="S103" s="514"/>
      <c r="T103" s="191"/>
      <c r="U103" s="435" t="s">
        <v>318</v>
      </c>
      <c r="V103" s="190"/>
      <c r="W103" s="190"/>
    </row>
    <row r="104" spans="1:23" s="189" customFormat="1" ht="16.5" customHeight="1">
      <c r="A104" s="249">
        <v>7</v>
      </c>
      <c r="B104" s="1935" t="s">
        <v>92</v>
      </c>
      <c r="C104" s="251">
        <v>2</v>
      </c>
      <c r="D104" s="251">
        <v>2</v>
      </c>
      <c r="E104" s="251">
        <v>5000</v>
      </c>
      <c r="F104" s="252">
        <f>C104*D104*E104</f>
        <v>20000</v>
      </c>
      <c r="G104" s="251">
        <v>2</v>
      </c>
      <c r="H104" s="251">
        <v>13</v>
      </c>
      <c r="I104" s="190">
        <v>500</v>
      </c>
      <c r="J104" s="236">
        <f>G104*H104*I104</f>
        <v>13000</v>
      </c>
      <c r="K104" s="190">
        <v>2</v>
      </c>
      <c r="L104" s="190">
        <v>13</v>
      </c>
      <c r="M104" s="190">
        <v>180</v>
      </c>
      <c r="N104" s="236">
        <f t="shared" si="5"/>
        <v>4680</v>
      </c>
      <c r="O104" s="236"/>
      <c r="P104" s="236"/>
      <c r="Q104" s="252">
        <f>SUM(F104,J104:J105,N104:N105)</f>
        <v>41180</v>
      </c>
      <c r="R104" s="190"/>
      <c r="S104" s="262"/>
      <c r="T104" s="191"/>
      <c r="U104" s="435" t="s">
        <v>318</v>
      </c>
      <c r="V104" s="190"/>
      <c r="W104" s="190"/>
    </row>
    <row r="105" spans="1:23" s="189" customFormat="1" ht="14.25" customHeight="1" thickBot="1">
      <c r="A105" s="326"/>
      <c r="B105" s="1936"/>
      <c r="C105" s="327"/>
      <c r="D105" s="327"/>
      <c r="E105" s="327"/>
      <c r="F105" s="238"/>
      <c r="G105" s="327">
        <v>1</v>
      </c>
      <c r="H105" s="327">
        <v>9</v>
      </c>
      <c r="I105" s="327">
        <v>300</v>
      </c>
      <c r="J105" s="238">
        <f>G105*H105*I105</f>
        <v>2700</v>
      </c>
      <c r="K105" s="327">
        <v>2</v>
      </c>
      <c r="L105" s="327">
        <v>4</v>
      </c>
      <c r="M105" s="327">
        <v>100</v>
      </c>
      <c r="N105" s="238">
        <f t="shared" si="5"/>
        <v>800</v>
      </c>
      <c r="O105" s="238"/>
      <c r="P105" s="238"/>
      <c r="Q105" s="238"/>
      <c r="R105" s="190"/>
      <c r="S105" s="262"/>
      <c r="T105" s="191"/>
      <c r="U105" s="435" t="s">
        <v>318</v>
      </c>
      <c r="V105" s="190"/>
      <c r="W105" s="190"/>
    </row>
    <row r="106" spans="1:23" s="784" customFormat="1" ht="12.75" customHeight="1" thickBot="1">
      <c r="A106" s="775"/>
      <c r="B106" s="777" t="s">
        <v>1783</v>
      </c>
      <c r="C106" s="776"/>
      <c r="D106" s="776"/>
      <c r="E106" s="777"/>
      <c r="F106" s="759">
        <f>SUM(F92:F105)</f>
        <v>111600</v>
      </c>
      <c r="G106" s="776"/>
      <c r="H106" s="776"/>
      <c r="I106" s="777"/>
      <c r="J106" s="759">
        <f>SUM(J92:J105)</f>
        <v>54700</v>
      </c>
      <c r="K106" s="776"/>
      <c r="L106" s="776"/>
      <c r="M106" s="777"/>
      <c r="N106" s="759">
        <f>SUM(N92:N105)</f>
        <v>43380</v>
      </c>
      <c r="O106" s="759">
        <f>SUM(O92:O105)</f>
        <v>0</v>
      </c>
      <c r="P106" s="759">
        <f>SUM(P92:P105)</f>
        <v>0</v>
      </c>
      <c r="Q106" s="759">
        <f>SUM(Q92:Q105)</f>
        <v>209680</v>
      </c>
      <c r="R106" s="774"/>
      <c r="S106" s="786"/>
      <c r="T106" s="759"/>
      <c r="U106" s="824"/>
      <c r="V106" s="822">
        <f>SUM(F106:P106)</f>
        <v>209680</v>
      </c>
      <c r="W106" s="783"/>
    </row>
    <row r="107" spans="1:23" s="189" customFormat="1" ht="12">
      <c r="A107" s="248"/>
      <c r="B107" s="977" t="s">
        <v>1205</v>
      </c>
      <c r="C107" s="190"/>
      <c r="D107" s="190"/>
      <c r="E107" s="242"/>
      <c r="F107" s="242"/>
      <c r="G107" s="190"/>
      <c r="H107" s="190"/>
      <c r="I107" s="242"/>
      <c r="J107" s="242"/>
      <c r="K107" s="190"/>
      <c r="L107" s="190"/>
      <c r="M107" s="242"/>
      <c r="N107" s="242"/>
      <c r="O107" s="242"/>
      <c r="P107" s="242"/>
      <c r="Q107" s="242"/>
      <c r="R107" s="190"/>
      <c r="S107" s="262"/>
      <c r="T107" s="191"/>
      <c r="U107" s="435"/>
      <c r="V107" s="190"/>
      <c r="W107" s="190"/>
    </row>
    <row r="108" spans="1:23" s="189" customFormat="1" ht="15" customHeight="1">
      <c r="A108" s="326">
        <v>1</v>
      </c>
      <c r="B108" s="261" t="s">
        <v>1755</v>
      </c>
      <c r="C108" s="327"/>
      <c r="D108" s="327"/>
      <c r="E108" s="261"/>
      <c r="F108" s="238"/>
      <c r="G108" s="327"/>
      <c r="H108" s="327"/>
      <c r="I108" s="261"/>
      <c r="J108" s="238"/>
      <c r="K108" s="327">
        <v>8</v>
      </c>
      <c r="L108" s="327">
        <v>5</v>
      </c>
      <c r="M108" s="261">
        <v>100</v>
      </c>
      <c r="N108" s="238">
        <f>K108*L108*M108</f>
        <v>4000</v>
      </c>
      <c r="O108" s="514"/>
      <c r="P108" s="514"/>
      <c r="Q108" s="238">
        <f>SUM(F108,J108,N108)</f>
        <v>4000</v>
      </c>
      <c r="R108" s="266"/>
      <c r="S108" s="267"/>
      <c r="T108" s="191"/>
      <c r="U108" s="435"/>
      <c r="V108" s="190"/>
      <c r="W108" s="190"/>
    </row>
    <row r="109" spans="1:21" s="190" customFormat="1" ht="12">
      <c r="A109" s="248">
        <v>2</v>
      </c>
      <c r="B109" s="250" t="s">
        <v>839</v>
      </c>
      <c r="C109" s="251">
        <v>5</v>
      </c>
      <c r="D109" s="251">
        <v>2</v>
      </c>
      <c r="E109" s="250">
        <v>2000</v>
      </c>
      <c r="F109" s="242">
        <f>C109*D109*E109</f>
        <v>20000</v>
      </c>
      <c r="G109" s="251">
        <v>5</v>
      </c>
      <c r="H109" s="251">
        <v>5</v>
      </c>
      <c r="I109" s="250">
        <v>300</v>
      </c>
      <c r="J109" s="250">
        <f>G109*H109*I109</f>
        <v>7500</v>
      </c>
      <c r="K109" s="251">
        <v>5</v>
      </c>
      <c r="L109" s="251">
        <v>5</v>
      </c>
      <c r="M109" s="250">
        <v>180</v>
      </c>
      <c r="N109" s="250">
        <f>K109*L109*M109</f>
        <v>4500</v>
      </c>
      <c r="O109" s="242" t="s">
        <v>1395</v>
      </c>
      <c r="P109" s="242"/>
      <c r="Q109" s="243">
        <f>SUM(F109,J109,N109:O110)</f>
        <v>33000</v>
      </c>
      <c r="S109" s="262"/>
      <c r="T109" s="191"/>
      <c r="U109" s="435" t="s">
        <v>318</v>
      </c>
    </row>
    <row r="110" spans="1:21" s="190" customFormat="1" ht="12">
      <c r="A110" s="326"/>
      <c r="B110" s="261" t="s">
        <v>838</v>
      </c>
      <c r="C110" s="327"/>
      <c r="D110" s="327"/>
      <c r="E110" s="261"/>
      <c r="F110" s="261">
        <f>C110*D110*E110</f>
        <v>0</v>
      </c>
      <c r="G110" s="327"/>
      <c r="H110" s="327"/>
      <c r="I110" s="261"/>
      <c r="J110" s="261">
        <f>G110*H110*I110</f>
        <v>0</v>
      </c>
      <c r="K110" s="327">
        <v>5</v>
      </c>
      <c r="L110" s="327">
        <v>2</v>
      </c>
      <c r="M110" s="261">
        <v>100</v>
      </c>
      <c r="N110" s="261">
        <f>K110*L110*M110</f>
        <v>1000</v>
      </c>
      <c r="O110" s="261"/>
      <c r="P110" s="261"/>
      <c r="Q110" s="261" t="s">
        <v>318</v>
      </c>
      <c r="S110" s="262"/>
      <c r="T110" s="191"/>
      <c r="U110" s="435"/>
    </row>
    <row r="111" spans="1:21" s="190" customFormat="1" ht="12">
      <c r="A111" s="249">
        <v>3</v>
      </c>
      <c r="B111" s="251" t="s">
        <v>1117</v>
      </c>
      <c r="C111" s="258">
        <v>26</v>
      </c>
      <c r="D111" s="251">
        <v>2</v>
      </c>
      <c r="E111" s="251">
        <v>1000</v>
      </c>
      <c r="F111" s="257">
        <f>C111*D111*E111</f>
        <v>52000</v>
      </c>
      <c r="G111" s="251">
        <v>0</v>
      </c>
      <c r="H111" s="251">
        <v>0</v>
      </c>
      <c r="I111" s="251">
        <v>0</v>
      </c>
      <c r="J111" s="252">
        <f>G111*H111*I111</f>
        <v>0</v>
      </c>
      <c r="K111" s="251">
        <v>26</v>
      </c>
      <c r="L111" s="251">
        <v>4</v>
      </c>
      <c r="M111" s="251">
        <v>100</v>
      </c>
      <c r="N111" s="252">
        <f>K111*L111*M111</f>
        <v>10400</v>
      </c>
      <c r="O111" s="252"/>
      <c r="P111" s="252"/>
      <c r="Q111" s="257">
        <f>SUM(F111,J111,N111:N112)</f>
        <v>62400</v>
      </c>
      <c r="S111" s="262"/>
      <c r="T111" s="191"/>
      <c r="U111" s="435"/>
    </row>
    <row r="112" spans="1:21" s="190" customFormat="1" ht="12">
      <c r="A112" s="326"/>
      <c r="B112" s="261" t="s">
        <v>135</v>
      </c>
      <c r="C112" s="327"/>
      <c r="D112" s="327"/>
      <c r="E112" s="327"/>
      <c r="F112" s="238"/>
      <c r="G112" s="327"/>
      <c r="H112" s="327"/>
      <c r="I112" s="327"/>
      <c r="J112" s="238"/>
      <c r="K112" s="327"/>
      <c r="L112" s="327"/>
      <c r="M112" s="261"/>
      <c r="N112" s="261"/>
      <c r="O112" s="261"/>
      <c r="P112" s="261"/>
      <c r="Q112" s="261"/>
      <c r="S112" s="262"/>
      <c r="T112" s="191"/>
      <c r="U112" s="435"/>
    </row>
    <row r="113" spans="1:21" s="190" customFormat="1" ht="12">
      <c r="A113" s="274">
        <v>4</v>
      </c>
      <c r="B113" s="265" t="s">
        <v>374</v>
      </c>
      <c r="C113" s="266">
        <v>1</v>
      </c>
      <c r="D113" s="266">
        <v>18</v>
      </c>
      <c r="E113" s="266">
        <v>500</v>
      </c>
      <c r="F113" s="236">
        <f>C113*D113*E113</f>
        <v>9000</v>
      </c>
      <c r="G113" s="266"/>
      <c r="H113" s="266"/>
      <c r="I113" s="266"/>
      <c r="J113" s="264">
        <f>G113*H113*I113</f>
        <v>0</v>
      </c>
      <c r="K113" s="266">
        <v>1</v>
      </c>
      <c r="L113" s="266">
        <v>18</v>
      </c>
      <c r="M113" s="266">
        <v>180</v>
      </c>
      <c r="N113" s="264">
        <f>K113*L113*M113</f>
        <v>3240</v>
      </c>
      <c r="O113" s="264"/>
      <c r="P113" s="264"/>
      <c r="Q113" s="264">
        <f>O113+N113+F113</f>
        <v>12240</v>
      </c>
      <c r="R113" s="327"/>
      <c r="S113" s="514"/>
      <c r="T113" s="191"/>
      <c r="U113" s="435" t="s">
        <v>318</v>
      </c>
    </row>
    <row r="114" spans="1:23" s="189" customFormat="1" ht="22.5" customHeight="1">
      <c r="A114" s="249">
        <v>5</v>
      </c>
      <c r="B114" s="242" t="s">
        <v>1184</v>
      </c>
      <c r="C114" s="190">
        <v>2</v>
      </c>
      <c r="D114" s="190">
        <v>2</v>
      </c>
      <c r="E114" s="242">
        <v>600</v>
      </c>
      <c r="F114" s="242">
        <f>C114*D114*E114</f>
        <v>2400</v>
      </c>
      <c r="G114" s="190">
        <v>2</v>
      </c>
      <c r="H114" s="190">
        <v>7</v>
      </c>
      <c r="I114" s="242">
        <v>300</v>
      </c>
      <c r="J114" s="242">
        <f>G114*H114*I114</f>
        <v>4200</v>
      </c>
      <c r="K114" s="190">
        <v>2</v>
      </c>
      <c r="L114" s="190">
        <v>7</v>
      </c>
      <c r="M114" s="242">
        <v>180</v>
      </c>
      <c r="N114" s="242">
        <f>K114*L114*M114</f>
        <v>2520</v>
      </c>
      <c r="O114" s="242"/>
      <c r="P114" s="242"/>
      <c r="Q114" s="242">
        <f>SUM(F114,J114,N114:N115)</f>
        <v>9520</v>
      </c>
      <c r="R114" s="190"/>
      <c r="S114" s="262"/>
      <c r="T114" s="191"/>
      <c r="U114" s="435"/>
      <c r="V114" s="190"/>
      <c r="W114" s="190"/>
    </row>
    <row r="115" spans="1:23" s="189" customFormat="1" ht="12.75" customHeight="1">
      <c r="A115" s="326"/>
      <c r="B115" s="261"/>
      <c r="C115" s="327"/>
      <c r="D115" s="327"/>
      <c r="E115" s="261"/>
      <c r="F115" s="261"/>
      <c r="G115" s="327"/>
      <c r="H115" s="327"/>
      <c r="I115" s="261"/>
      <c r="J115" s="261"/>
      <c r="K115" s="327">
        <v>2</v>
      </c>
      <c r="L115" s="327">
        <v>2</v>
      </c>
      <c r="M115" s="261">
        <v>100</v>
      </c>
      <c r="N115" s="261">
        <f>K115*L115*M115</f>
        <v>400</v>
      </c>
      <c r="O115" s="261"/>
      <c r="P115" s="261"/>
      <c r="Q115" s="261"/>
      <c r="R115" s="327"/>
      <c r="S115" s="514"/>
      <c r="T115" s="191" t="s">
        <v>541</v>
      </c>
      <c r="U115" s="435"/>
      <c r="V115" s="190"/>
      <c r="W115" s="190"/>
    </row>
    <row r="116" spans="1:21" s="190" customFormat="1" ht="12">
      <c r="A116" s="248">
        <v>6</v>
      </c>
      <c r="B116" s="242" t="s">
        <v>1489</v>
      </c>
      <c r="C116" s="190">
        <v>10</v>
      </c>
      <c r="D116" s="190">
        <v>8</v>
      </c>
      <c r="E116" s="190">
        <v>20</v>
      </c>
      <c r="F116" s="236">
        <f>C116*D116*E116</f>
        <v>1600</v>
      </c>
      <c r="J116" s="236">
        <f>G116*H116*I116</f>
        <v>0</v>
      </c>
      <c r="K116" s="190">
        <v>10</v>
      </c>
      <c r="L116" s="190">
        <v>4</v>
      </c>
      <c r="M116" s="242">
        <v>100</v>
      </c>
      <c r="N116" s="242">
        <f>K116*L116*M116</f>
        <v>4000</v>
      </c>
      <c r="O116" s="242"/>
      <c r="P116" s="242"/>
      <c r="Q116" s="236">
        <f>SUM(F116,J116,N116)</f>
        <v>5600</v>
      </c>
      <c r="S116" s="262"/>
      <c r="T116" s="191"/>
      <c r="U116" s="435"/>
    </row>
    <row r="117" spans="1:21" s="190" customFormat="1" ht="12.75" thickBot="1">
      <c r="A117" s="248"/>
      <c r="B117" s="242" t="s">
        <v>1490</v>
      </c>
      <c r="E117" s="242"/>
      <c r="F117" s="236"/>
      <c r="I117" s="242"/>
      <c r="J117" s="236"/>
      <c r="M117" s="242"/>
      <c r="N117" s="242"/>
      <c r="O117" s="242"/>
      <c r="P117" s="242"/>
      <c r="Q117" s="236"/>
      <c r="S117" s="262"/>
      <c r="T117" s="191"/>
      <c r="U117" s="435"/>
    </row>
    <row r="118" spans="1:23" s="784" customFormat="1" ht="12.75" customHeight="1" thickBot="1">
      <c r="A118" s="775"/>
      <c r="B118" s="777" t="s">
        <v>1783</v>
      </c>
      <c r="C118" s="776"/>
      <c r="D118" s="776"/>
      <c r="E118" s="777"/>
      <c r="F118" s="759">
        <f>SUM(F108:F117)</f>
        <v>85000</v>
      </c>
      <c r="G118" s="776"/>
      <c r="H118" s="776"/>
      <c r="I118" s="777"/>
      <c r="J118" s="759">
        <f>SUM(J108:J117)</f>
        <v>11700</v>
      </c>
      <c r="K118" s="776"/>
      <c r="L118" s="776"/>
      <c r="M118" s="777"/>
      <c r="N118" s="759">
        <f>SUM(N108:N117)</f>
        <v>30060</v>
      </c>
      <c r="O118" s="759">
        <f>SUM(O108:O117)</f>
        <v>0</v>
      </c>
      <c r="P118" s="759">
        <f>SUM(P108:P117)</f>
        <v>0</v>
      </c>
      <c r="Q118" s="759">
        <f>SUM(Q107:Q117)</f>
        <v>126760</v>
      </c>
      <c r="R118" s="774"/>
      <c r="S118" s="786"/>
      <c r="T118" s="759"/>
      <c r="U118" s="824"/>
      <c r="V118" s="822">
        <f>SUM(F118:P118)</f>
        <v>126760</v>
      </c>
      <c r="W118" s="783"/>
    </row>
    <row r="119" spans="1:21" s="190" customFormat="1" ht="12">
      <c r="A119" s="248"/>
      <c r="B119" s="977" t="s">
        <v>1206</v>
      </c>
      <c r="E119" s="242"/>
      <c r="F119" s="242"/>
      <c r="I119" s="242"/>
      <c r="J119" s="242"/>
      <c r="M119" s="242"/>
      <c r="N119" s="242"/>
      <c r="O119" s="242"/>
      <c r="P119" s="242"/>
      <c r="Q119" s="242"/>
      <c r="S119" s="262"/>
      <c r="T119" s="191"/>
      <c r="U119" s="435"/>
    </row>
    <row r="120" spans="1:21" s="190" customFormat="1" ht="12">
      <c r="A120" s="248">
        <v>1</v>
      </c>
      <c r="B120" s="242" t="s">
        <v>912</v>
      </c>
      <c r="C120" s="190">
        <v>5</v>
      </c>
      <c r="D120" s="190">
        <v>2</v>
      </c>
      <c r="E120" s="190">
        <v>300</v>
      </c>
      <c r="F120" s="252">
        <f>C120*D120*E120</f>
        <v>3000</v>
      </c>
      <c r="G120" s="190">
        <v>5</v>
      </c>
      <c r="H120" s="190">
        <v>15</v>
      </c>
      <c r="I120" s="190">
        <v>400</v>
      </c>
      <c r="J120" s="252">
        <f>G120*H120*I120</f>
        <v>30000</v>
      </c>
      <c r="K120" s="190">
        <v>5</v>
      </c>
      <c r="L120" s="190">
        <v>15</v>
      </c>
      <c r="M120" s="190">
        <v>180</v>
      </c>
      <c r="N120" s="252">
        <f aca="true" t="shared" si="6" ref="N120:N130">K120*L120*M120</f>
        <v>13500</v>
      </c>
      <c r="O120" s="252"/>
      <c r="P120" s="252"/>
      <c r="Q120" s="252">
        <f>SUM(F120,J120:J120,N120:N120)</f>
        <v>46500</v>
      </c>
      <c r="S120" s="262"/>
      <c r="T120" s="191"/>
      <c r="U120" s="435"/>
    </row>
    <row r="121" spans="1:21" s="190" customFormat="1" ht="24" customHeight="1">
      <c r="A121" s="249">
        <v>2</v>
      </c>
      <c r="B121" s="265" t="s">
        <v>472</v>
      </c>
      <c r="C121" s="266">
        <v>10</v>
      </c>
      <c r="D121" s="266">
        <v>2</v>
      </c>
      <c r="E121" s="266">
        <v>600</v>
      </c>
      <c r="F121" s="264">
        <f>C121*D121*E121</f>
        <v>12000</v>
      </c>
      <c r="G121" s="266">
        <v>10</v>
      </c>
      <c r="H121" s="266">
        <v>6</v>
      </c>
      <c r="I121" s="266">
        <v>300</v>
      </c>
      <c r="J121" s="267">
        <f>G121*H121*I121</f>
        <v>18000</v>
      </c>
      <c r="K121" s="267">
        <v>10</v>
      </c>
      <c r="L121" s="266">
        <v>6</v>
      </c>
      <c r="M121" s="266">
        <v>100</v>
      </c>
      <c r="N121" s="264">
        <f t="shared" si="6"/>
        <v>6000</v>
      </c>
      <c r="O121" s="264"/>
      <c r="P121" s="264"/>
      <c r="Q121" s="264">
        <f>SUM(F121,J121,N121)</f>
        <v>36000</v>
      </c>
      <c r="S121" s="262"/>
      <c r="T121" s="191"/>
      <c r="U121" s="435" t="s">
        <v>318</v>
      </c>
    </row>
    <row r="122" spans="1:21" s="190" customFormat="1" ht="24" customHeight="1">
      <c r="A122" s="248">
        <v>3</v>
      </c>
      <c r="B122" s="242" t="s">
        <v>1288</v>
      </c>
      <c r="C122" s="190">
        <v>10</v>
      </c>
      <c r="D122" s="190">
        <v>2</v>
      </c>
      <c r="E122" s="190">
        <v>250</v>
      </c>
      <c r="F122" s="236">
        <f>C122*D122*E122</f>
        <v>5000</v>
      </c>
      <c r="G122" s="190">
        <v>10</v>
      </c>
      <c r="H122" s="190">
        <v>1</v>
      </c>
      <c r="I122" s="190">
        <v>300</v>
      </c>
      <c r="J122" s="262">
        <f>G122*H122*I122</f>
        <v>3000</v>
      </c>
      <c r="K122" s="262">
        <v>10</v>
      </c>
      <c r="L122" s="190">
        <v>1</v>
      </c>
      <c r="M122" s="190">
        <v>100</v>
      </c>
      <c r="N122" s="236">
        <f t="shared" si="6"/>
        <v>1000</v>
      </c>
      <c r="O122" s="236"/>
      <c r="P122" s="236"/>
      <c r="Q122" s="236">
        <f>SUM(F122,J122,N122:N123)</f>
        <v>10800</v>
      </c>
      <c r="S122" s="262"/>
      <c r="T122" s="191"/>
      <c r="U122" s="435" t="s">
        <v>318</v>
      </c>
    </row>
    <row r="123" spans="1:21" s="190" customFormat="1" ht="12">
      <c r="A123" s="326"/>
      <c r="B123" s="261" t="s">
        <v>1630</v>
      </c>
      <c r="C123" s="327"/>
      <c r="D123" s="327"/>
      <c r="E123" s="327"/>
      <c r="F123" s="238"/>
      <c r="G123" s="327"/>
      <c r="H123" s="327"/>
      <c r="I123" s="327"/>
      <c r="J123" s="514"/>
      <c r="K123" s="514">
        <v>10</v>
      </c>
      <c r="L123" s="327">
        <v>1</v>
      </c>
      <c r="M123" s="327">
        <v>180</v>
      </c>
      <c r="N123" s="238">
        <f t="shared" si="6"/>
        <v>1800</v>
      </c>
      <c r="O123" s="238"/>
      <c r="P123" s="238"/>
      <c r="Q123" s="238"/>
      <c r="S123" s="262"/>
      <c r="T123" s="191"/>
      <c r="U123" s="435"/>
    </row>
    <row r="124" spans="1:21" s="190" customFormat="1" ht="12">
      <c r="A124" s="248">
        <v>4</v>
      </c>
      <c r="B124" s="242" t="s">
        <v>482</v>
      </c>
      <c r="C124" s="190">
        <v>5</v>
      </c>
      <c r="D124" s="190">
        <v>2</v>
      </c>
      <c r="E124" s="190">
        <v>250</v>
      </c>
      <c r="F124" s="252">
        <f>C124*D124*E124</f>
        <v>2500</v>
      </c>
      <c r="G124" s="190">
        <v>5</v>
      </c>
      <c r="H124" s="190">
        <v>15</v>
      </c>
      <c r="I124" s="190">
        <v>300</v>
      </c>
      <c r="J124" s="236">
        <f>G124*H124*I124</f>
        <v>22500</v>
      </c>
      <c r="K124" s="190">
        <v>5</v>
      </c>
      <c r="L124" s="190">
        <v>15</v>
      </c>
      <c r="M124" s="242">
        <v>180</v>
      </c>
      <c r="N124" s="242">
        <f t="shared" si="6"/>
        <v>13500</v>
      </c>
      <c r="O124" s="242"/>
      <c r="P124" s="242"/>
      <c r="Q124" s="252">
        <f>SUM(F124,J124,N124:N125)</f>
        <v>39500</v>
      </c>
      <c r="S124" s="262"/>
      <c r="T124" s="191" t="s">
        <v>541</v>
      </c>
      <c r="U124" s="435"/>
    </row>
    <row r="125" spans="1:21" s="190" customFormat="1" ht="12">
      <c r="A125" s="248"/>
      <c r="B125" s="242"/>
      <c r="F125" s="252">
        <f>C125*D125*E125</f>
        <v>0</v>
      </c>
      <c r="J125" s="236"/>
      <c r="K125" s="190">
        <v>5</v>
      </c>
      <c r="L125" s="190">
        <v>2</v>
      </c>
      <c r="M125" s="261">
        <v>100</v>
      </c>
      <c r="N125" s="242">
        <f t="shared" si="6"/>
        <v>1000</v>
      </c>
      <c r="O125" s="238"/>
      <c r="P125" s="242"/>
      <c r="Q125" s="242"/>
      <c r="S125" s="262"/>
      <c r="T125" s="191"/>
      <c r="U125" s="435"/>
    </row>
    <row r="126" spans="1:21" s="190" customFormat="1" ht="16.5" customHeight="1">
      <c r="A126" s="249">
        <v>5</v>
      </c>
      <c r="B126" s="250" t="s">
        <v>999</v>
      </c>
      <c r="C126" s="251">
        <v>5</v>
      </c>
      <c r="D126" s="251">
        <v>2</v>
      </c>
      <c r="E126" s="251">
        <v>1000</v>
      </c>
      <c r="F126" s="252">
        <f>C126*D126*E126</f>
        <v>10000</v>
      </c>
      <c r="G126" s="251">
        <v>5</v>
      </c>
      <c r="H126" s="251">
        <v>15</v>
      </c>
      <c r="I126" s="251">
        <v>300</v>
      </c>
      <c r="J126" s="252">
        <f>G126*H126*I126</f>
        <v>22500</v>
      </c>
      <c r="K126" s="251">
        <v>5</v>
      </c>
      <c r="L126" s="251">
        <v>15</v>
      </c>
      <c r="M126" s="251">
        <v>180</v>
      </c>
      <c r="N126" s="252">
        <f t="shared" si="6"/>
        <v>13500</v>
      </c>
      <c r="O126" s="236">
        <v>0</v>
      </c>
      <c r="P126" s="252"/>
      <c r="Q126" s="252">
        <f>SUM(F126,J126:J127,N126:N127)</f>
        <v>50000</v>
      </c>
      <c r="S126" s="262"/>
      <c r="T126" s="191"/>
      <c r="U126" s="1946" t="s">
        <v>318</v>
      </c>
    </row>
    <row r="127" spans="1:21" s="190" customFormat="1" ht="11.25" customHeight="1">
      <c r="A127" s="326"/>
      <c r="B127" s="261" t="s">
        <v>318</v>
      </c>
      <c r="C127" s="327"/>
      <c r="D127" s="327"/>
      <c r="E127" s="327"/>
      <c r="F127" s="238"/>
      <c r="G127" s="327">
        <v>4</v>
      </c>
      <c r="H127" s="327">
        <v>15</v>
      </c>
      <c r="I127" s="327">
        <v>50</v>
      </c>
      <c r="J127" s="238">
        <f>G127*H127*I127</f>
        <v>3000</v>
      </c>
      <c r="K127" s="327">
        <v>5</v>
      </c>
      <c r="L127" s="327">
        <v>2</v>
      </c>
      <c r="M127" s="327">
        <v>100</v>
      </c>
      <c r="N127" s="238">
        <f t="shared" si="6"/>
        <v>1000</v>
      </c>
      <c r="O127" s="238"/>
      <c r="P127" s="238"/>
      <c r="Q127" s="238"/>
      <c r="S127" s="262"/>
      <c r="T127" s="191"/>
      <c r="U127" s="1946"/>
    </row>
    <row r="128" spans="1:21" s="190" customFormat="1" ht="13.5" customHeight="1">
      <c r="A128" s="249">
        <v>6</v>
      </c>
      <c r="B128" s="250" t="s">
        <v>828</v>
      </c>
      <c r="C128" s="251">
        <v>6</v>
      </c>
      <c r="D128" s="251">
        <v>2</v>
      </c>
      <c r="E128" s="251">
        <v>1100</v>
      </c>
      <c r="F128" s="252">
        <f>C128*D128*E128</f>
        <v>13200</v>
      </c>
      <c r="G128" s="251">
        <v>6</v>
      </c>
      <c r="H128" s="251">
        <v>18</v>
      </c>
      <c r="I128" s="251">
        <v>400</v>
      </c>
      <c r="J128" s="252">
        <f>G128*H128*I128</f>
        <v>43200</v>
      </c>
      <c r="K128" s="251">
        <v>6</v>
      </c>
      <c r="L128" s="251">
        <v>18</v>
      </c>
      <c r="M128" s="251">
        <v>180</v>
      </c>
      <c r="N128" s="252">
        <f t="shared" si="6"/>
        <v>19440</v>
      </c>
      <c r="O128" s="236" t="s">
        <v>318</v>
      </c>
      <c r="P128" s="236"/>
      <c r="Q128" s="252">
        <f>SUM(F128,J128,N128:O129)</f>
        <v>78240</v>
      </c>
      <c r="S128" s="262"/>
      <c r="T128" s="191"/>
      <c r="U128" s="244" t="s">
        <v>318</v>
      </c>
    </row>
    <row r="129" spans="1:21" s="190" customFormat="1" ht="12">
      <c r="A129" s="326"/>
      <c r="B129" s="261" t="s">
        <v>318</v>
      </c>
      <c r="C129" s="327"/>
      <c r="D129" s="327"/>
      <c r="E129" s="327"/>
      <c r="F129" s="238"/>
      <c r="G129" s="327"/>
      <c r="H129" s="327"/>
      <c r="I129" s="327"/>
      <c r="J129" s="238">
        <f>G129*H129*I129</f>
        <v>0</v>
      </c>
      <c r="K129" s="327">
        <v>6</v>
      </c>
      <c r="L129" s="327">
        <v>4</v>
      </c>
      <c r="M129" s="327">
        <v>100</v>
      </c>
      <c r="N129" s="238">
        <f t="shared" si="6"/>
        <v>2400</v>
      </c>
      <c r="O129" s="238"/>
      <c r="P129" s="238"/>
      <c r="Q129" s="238"/>
      <c r="R129" s="327"/>
      <c r="S129" s="514"/>
      <c r="T129" s="191"/>
      <c r="U129" s="435" t="s">
        <v>318</v>
      </c>
    </row>
    <row r="130" spans="1:23" s="189" customFormat="1" ht="24.75" customHeight="1" thickBot="1">
      <c r="A130" s="248">
        <v>7</v>
      </c>
      <c r="B130" s="242" t="s">
        <v>84</v>
      </c>
      <c r="C130" s="190">
        <v>4</v>
      </c>
      <c r="D130" s="190">
        <v>2</v>
      </c>
      <c r="E130" s="242">
        <v>400</v>
      </c>
      <c r="F130" s="242">
        <f>C130*D130*E130</f>
        <v>3200</v>
      </c>
      <c r="G130" s="190">
        <v>4</v>
      </c>
      <c r="H130" s="190">
        <v>4</v>
      </c>
      <c r="I130" s="242">
        <v>300</v>
      </c>
      <c r="J130" s="242">
        <f>G130*H130*I130</f>
        <v>4800</v>
      </c>
      <c r="K130" s="190">
        <v>4</v>
      </c>
      <c r="L130" s="190">
        <v>6</v>
      </c>
      <c r="M130" s="242">
        <v>100</v>
      </c>
      <c r="N130" s="242">
        <f t="shared" si="6"/>
        <v>2400</v>
      </c>
      <c r="O130" s="242"/>
      <c r="P130" s="242"/>
      <c r="Q130" s="252">
        <f>SUM(F130,J130,N130)</f>
        <v>10400</v>
      </c>
      <c r="R130" s="190"/>
      <c r="S130" s="262"/>
      <c r="T130" s="191"/>
      <c r="U130" s="435"/>
      <c r="V130" s="190"/>
      <c r="W130" s="190"/>
    </row>
    <row r="131" spans="1:22" s="783" customFormat="1" ht="12.75" customHeight="1" thickBot="1">
      <c r="A131" s="775"/>
      <c r="B131" s="777" t="s">
        <v>1783</v>
      </c>
      <c r="C131" s="776"/>
      <c r="D131" s="776"/>
      <c r="E131" s="777"/>
      <c r="F131" s="777">
        <f>SUM(F120:F130)</f>
        <v>48900</v>
      </c>
      <c r="G131" s="776"/>
      <c r="H131" s="776"/>
      <c r="I131" s="777"/>
      <c r="J131" s="777">
        <f>SUM(J120:J130)</f>
        <v>147000</v>
      </c>
      <c r="K131" s="776"/>
      <c r="L131" s="776"/>
      <c r="M131" s="777"/>
      <c r="N131" s="777">
        <f>SUM(N120:N130)</f>
        <v>75540</v>
      </c>
      <c r="O131" s="777">
        <f>SUM(O120:O130)</f>
        <v>0</v>
      </c>
      <c r="P131" s="777">
        <f>SUM(P120:P130)</f>
        <v>0</v>
      </c>
      <c r="Q131" s="759">
        <f>SUM(Q120:Q130)</f>
        <v>271440</v>
      </c>
      <c r="R131" s="774"/>
      <c r="S131" s="786"/>
      <c r="T131" s="759"/>
      <c r="U131" s="824"/>
      <c r="V131" s="822">
        <f>SUM(F131:P131)</f>
        <v>271440</v>
      </c>
    </row>
    <row r="132" spans="1:21" s="190" customFormat="1" ht="13.5" customHeight="1">
      <c r="A132" s="976"/>
      <c r="B132" s="977" t="s">
        <v>138</v>
      </c>
      <c r="E132" s="242"/>
      <c r="F132" s="242"/>
      <c r="I132" s="242"/>
      <c r="J132" s="242"/>
      <c r="M132" s="242"/>
      <c r="N132" s="242"/>
      <c r="O132" s="242"/>
      <c r="P132" s="242"/>
      <c r="Q132" s="242"/>
      <c r="S132" s="262"/>
      <c r="T132" s="191"/>
      <c r="U132" s="435"/>
    </row>
    <row r="133" spans="1:21" s="190" customFormat="1" ht="24">
      <c r="A133" s="248">
        <v>1</v>
      </c>
      <c r="B133" s="242" t="s">
        <v>1299</v>
      </c>
      <c r="C133" s="190">
        <v>5</v>
      </c>
      <c r="D133" s="190">
        <v>2</v>
      </c>
      <c r="E133" s="242">
        <v>300</v>
      </c>
      <c r="F133" s="236">
        <f>C133*D133*E133</f>
        <v>3000</v>
      </c>
      <c r="G133" s="190">
        <v>5</v>
      </c>
      <c r="H133" s="190">
        <v>2</v>
      </c>
      <c r="I133" s="242">
        <v>300</v>
      </c>
      <c r="J133" s="236">
        <f>G133*H133*I133</f>
        <v>3000</v>
      </c>
      <c r="K133" s="190">
        <v>5</v>
      </c>
      <c r="L133" s="190">
        <v>2</v>
      </c>
      <c r="M133" s="242">
        <v>180</v>
      </c>
      <c r="N133" s="236">
        <f aca="true" t="shared" si="7" ref="N133:N148">K133*L133*M133</f>
        <v>1800</v>
      </c>
      <c r="O133" s="262"/>
      <c r="P133" s="262"/>
      <c r="Q133" s="236">
        <f>SUM(F133,J133,N133:N134)</f>
        <v>8800</v>
      </c>
      <c r="T133" s="191"/>
      <c r="U133" s="435"/>
    </row>
    <row r="134" spans="1:21" s="190" customFormat="1" ht="12">
      <c r="A134" s="326"/>
      <c r="B134" s="261" t="s">
        <v>1212</v>
      </c>
      <c r="C134" s="327"/>
      <c r="D134" s="327"/>
      <c r="E134" s="261"/>
      <c r="F134" s="261"/>
      <c r="I134" s="242"/>
      <c r="J134" s="261"/>
      <c r="K134" s="190">
        <v>5</v>
      </c>
      <c r="L134" s="190">
        <v>2</v>
      </c>
      <c r="M134" s="242">
        <v>100</v>
      </c>
      <c r="N134" s="261">
        <f t="shared" si="7"/>
        <v>1000</v>
      </c>
      <c r="O134" s="261"/>
      <c r="P134" s="261"/>
      <c r="Q134" s="261"/>
      <c r="R134" s="327"/>
      <c r="S134" s="514"/>
      <c r="T134" s="191"/>
      <c r="U134" s="435"/>
    </row>
    <row r="135" spans="1:21" s="190" customFormat="1" ht="12.75" customHeight="1">
      <c r="A135" s="274">
        <v>2</v>
      </c>
      <c r="B135" s="265" t="s">
        <v>473</v>
      </c>
      <c r="C135" s="251"/>
      <c r="D135" s="251">
        <v>0</v>
      </c>
      <c r="E135" s="250">
        <v>0</v>
      </c>
      <c r="F135" s="251">
        <f>D135*E135</f>
        <v>0</v>
      </c>
      <c r="G135" s="267">
        <v>0</v>
      </c>
      <c r="H135" s="266">
        <v>0</v>
      </c>
      <c r="I135" s="265">
        <v>0</v>
      </c>
      <c r="J135" s="251">
        <f>G135*H135*I135</f>
        <v>0</v>
      </c>
      <c r="K135" s="267">
        <v>13</v>
      </c>
      <c r="L135" s="266">
        <v>8</v>
      </c>
      <c r="M135" s="265">
        <v>100</v>
      </c>
      <c r="N135" s="250">
        <f t="shared" si="7"/>
        <v>10400</v>
      </c>
      <c r="O135" s="250"/>
      <c r="P135" s="264">
        <v>5000</v>
      </c>
      <c r="Q135" s="264">
        <f>SUM(F135,J135,N135,P135)</f>
        <v>15400</v>
      </c>
      <c r="S135" s="262"/>
      <c r="T135" s="191"/>
      <c r="U135" s="666" t="s">
        <v>475</v>
      </c>
    </row>
    <row r="136" spans="1:23" s="189" customFormat="1" ht="19.5" customHeight="1">
      <c r="A136" s="1939">
        <v>3</v>
      </c>
      <c r="B136" s="1933" t="s">
        <v>474</v>
      </c>
      <c r="C136" s="258">
        <v>2</v>
      </c>
      <c r="D136" s="251">
        <v>2</v>
      </c>
      <c r="E136" s="250">
        <v>600</v>
      </c>
      <c r="F136" s="251">
        <f>C136*D136*E136</f>
        <v>2400</v>
      </c>
      <c r="G136" s="262">
        <v>2</v>
      </c>
      <c r="H136" s="190">
        <v>15</v>
      </c>
      <c r="I136" s="242">
        <v>300</v>
      </c>
      <c r="J136" s="251">
        <f>G136*H136*I136</f>
        <v>9000</v>
      </c>
      <c r="K136" s="262">
        <v>2</v>
      </c>
      <c r="L136" s="190">
        <v>15</v>
      </c>
      <c r="M136" s="242">
        <v>180</v>
      </c>
      <c r="N136" s="250">
        <f t="shared" si="7"/>
        <v>5400</v>
      </c>
      <c r="O136" s="252"/>
      <c r="P136" s="236" t="s">
        <v>318</v>
      </c>
      <c r="Q136" s="236">
        <f>SUM(F136,J136,N136:N137,P136)</f>
        <v>17000</v>
      </c>
      <c r="R136" s="190"/>
      <c r="S136" s="262"/>
      <c r="T136" s="191"/>
      <c r="U136" s="435" t="s">
        <v>318</v>
      </c>
      <c r="V136" s="190"/>
      <c r="W136" s="190"/>
    </row>
    <row r="137" spans="1:23" s="189" customFormat="1" ht="15" customHeight="1">
      <c r="A137" s="1940"/>
      <c r="B137" s="1934"/>
      <c r="C137" s="514"/>
      <c r="D137" s="327"/>
      <c r="E137" s="261"/>
      <c r="F137" s="327"/>
      <c r="G137" s="514"/>
      <c r="H137" s="327"/>
      <c r="I137" s="261"/>
      <c r="J137" s="327"/>
      <c r="K137" s="514">
        <v>2</v>
      </c>
      <c r="L137" s="327">
        <v>1</v>
      </c>
      <c r="M137" s="261">
        <v>100</v>
      </c>
      <c r="N137" s="261">
        <f t="shared" si="7"/>
        <v>200</v>
      </c>
      <c r="O137" s="238"/>
      <c r="P137" s="238"/>
      <c r="Q137" s="238"/>
      <c r="R137" s="190"/>
      <c r="S137" s="262"/>
      <c r="T137" s="191"/>
      <c r="U137" s="435"/>
      <c r="V137" s="190"/>
      <c r="W137" s="190"/>
    </row>
    <row r="138" spans="1:21" s="190" customFormat="1" ht="25.5" customHeight="1">
      <c r="A138" s="249">
        <v>4</v>
      </c>
      <c r="B138" s="250" t="s">
        <v>1055</v>
      </c>
      <c r="C138" s="190">
        <v>4</v>
      </c>
      <c r="D138" s="190">
        <v>2</v>
      </c>
      <c r="E138" s="242">
        <v>1700</v>
      </c>
      <c r="F138" s="242">
        <f>C138*D138*E138</f>
        <v>13600</v>
      </c>
      <c r="G138" s="190">
        <v>4</v>
      </c>
      <c r="H138" s="190">
        <v>4</v>
      </c>
      <c r="I138" s="242">
        <v>300</v>
      </c>
      <c r="J138" s="242">
        <f>G138*H138*I138</f>
        <v>4800</v>
      </c>
      <c r="K138" s="190">
        <v>4</v>
      </c>
      <c r="L138" s="190">
        <v>4</v>
      </c>
      <c r="M138" s="242">
        <v>180</v>
      </c>
      <c r="N138" s="242">
        <f t="shared" si="7"/>
        <v>2880</v>
      </c>
      <c r="O138" s="242"/>
      <c r="P138" s="242"/>
      <c r="Q138" s="236">
        <f>SUM(F138,J138,N138:N139)</f>
        <v>23680</v>
      </c>
      <c r="S138" s="262"/>
      <c r="T138" s="191"/>
      <c r="U138" s="435"/>
    </row>
    <row r="139" spans="1:23" s="189" customFormat="1" ht="13.5" customHeight="1">
      <c r="A139" s="326" t="s">
        <v>318</v>
      </c>
      <c r="B139" s="261" t="s">
        <v>135</v>
      </c>
      <c r="C139" s="327"/>
      <c r="D139" s="327"/>
      <c r="E139" s="261"/>
      <c r="F139" s="261">
        <f>C139*D139*E139</f>
        <v>0</v>
      </c>
      <c r="G139" s="327"/>
      <c r="H139" s="327"/>
      <c r="I139" s="261"/>
      <c r="J139" s="261"/>
      <c r="K139" s="327">
        <v>4</v>
      </c>
      <c r="L139" s="327">
        <v>6</v>
      </c>
      <c r="M139" s="261">
        <v>100</v>
      </c>
      <c r="N139" s="261">
        <f t="shared" si="7"/>
        <v>2400</v>
      </c>
      <c r="O139" s="261"/>
      <c r="P139" s="261"/>
      <c r="Q139" s="261" t="s">
        <v>318</v>
      </c>
      <c r="R139" s="190"/>
      <c r="S139" s="262"/>
      <c r="T139" s="191" t="s">
        <v>541</v>
      </c>
      <c r="U139" s="435" t="s">
        <v>318</v>
      </c>
      <c r="V139" s="190"/>
      <c r="W139" s="190"/>
    </row>
    <row r="140" spans="1:23" s="405" customFormat="1" ht="21" customHeight="1">
      <c r="A140" s="1644">
        <v>5</v>
      </c>
      <c r="B140" s="439" t="s">
        <v>338</v>
      </c>
      <c r="C140" s="1229">
        <v>2</v>
      </c>
      <c r="D140" s="1229">
        <v>2</v>
      </c>
      <c r="E140" s="1229">
        <v>1900</v>
      </c>
      <c r="F140" s="438">
        <f>C140*D140*E140</f>
        <v>7600</v>
      </c>
      <c r="G140" s="1229"/>
      <c r="H140" s="1229"/>
      <c r="I140" s="1229"/>
      <c r="J140" s="438">
        <f>G140*H140*I140</f>
        <v>0</v>
      </c>
      <c r="K140" s="1229">
        <v>2</v>
      </c>
      <c r="L140" s="1229">
        <v>6</v>
      </c>
      <c r="M140" s="439">
        <v>100</v>
      </c>
      <c r="N140" s="438">
        <f t="shared" si="7"/>
        <v>1200</v>
      </c>
      <c r="O140" s="438" t="s">
        <v>318</v>
      </c>
      <c r="P140" s="1229">
        <v>0</v>
      </c>
      <c r="Q140" s="438">
        <f>SUM(F140:F141,J140,N140:N141)</f>
        <v>11880</v>
      </c>
      <c r="R140" s="402"/>
      <c r="S140" s="954"/>
      <c r="T140" s="1642"/>
      <c r="U140" s="1645" t="s">
        <v>476</v>
      </c>
      <c r="V140" s="402"/>
      <c r="W140" s="402"/>
    </row>
    <row r="141" spans="1:23" s="189" customFormat="1" ht="18" customHeight="1">
      <c r="A141" s="326"/>
      <c r="B141" s="1646"/>
      <c r="C141" s="1223">
        <v>2</v>
      </c>
      <c r="D141" s="1223">
        <v>2</v>
      </c>
      <c r="E141" s="1223">
        <v>500</v>
      </c>
      <c r="F141" s="404">
        <f>C141*D141*E141</f>
        <v>2000</v>
      </c>
      <c r="G141" s="1223"/>
      <c r="H141" s="1223"/>
      <c r="I141" s="1223"/>
      <c r="J141" s="404"/>
      <c r="K141" s="1223">
        <v>2</v>
      </c>
      <c r="L141" s="1223">
        <v>3</v>
      </c>
      <c r="M141" s="1235">
        <v>180</v>
      </c>
      <c r="N141" s="404">
        <f t="shared" si="7"/>
        <v>1080</v>
      </c>
      <c r="O141" s="1215"/>
      <c r="P141" s="1215"/>
      <c r="Q141" s="1646"/>
      <c r="R141" s="190"/>
      <c r="S141" s="262"/>
      <c r="T141" s="191"/>
      <c r="U141" s="666"/>
      <c r="V141" s="190"/>
      <c r="W141" s="190"/>
    </row>
    <row r="142" spans="1:23" s="189" customFormat="1" ht="24.75" customHeight="1">
      <c r="A142" s="248">
        <v>6</v>
      </c>
      <c r="B142" s="242" t="s">
        <v>543</v>
      </c>
      <c r="C142" s="190" t="s">
        <v>318</v>
      </c>
      <c r="D142" s="190">
        <v>0</v>
      </c>
      <c r="E142" s="190">
        <v>0</v>
      </c>
      <c r="F142" s="236">
        <f>D142*E142*2</f>
        <v>0</v>
      </c>
      <c r="G142" s="190"/>
      <c r="H142" s="190"/>
      <c r="I142" s="190"/>
      <c r="J142" s="236">
        <f>G142*H142*I142</f>
        <v>0</v>
      </c>
      <c r="K142" s="190"/>
      <c r="L142" s="190"/>
      <c r="M142" s="190"/>
      <c r="N142" s="236">
        <f t="shared" si="7"/>
        <v>0</v>
      </c>
      <c r="O142" s="238"/>
      <c r="P142" s="236">
        <v>4000</v>
      </c>
      <c r="Q142" s="236">
        <f>P142</f>
        <v>4000</v>
      </c>
      <c r="R142" s="190"/>
      <c r="S142" s="262"/>
      <c r="T142" s="191"/>
      <c r="U142" s="435" t="s">
        <v>1151</v>
      </c>
      <c r="V142" s="190"/>
      <c r="W142" s="190"/>
    </row>
    <row r="143" spans="1:21" s="190" customFormat="1" ht="24">
      <c r="A143" s="274">
        <v>7</v>
      </c>
      <c r="B143" s="265" t="s">
        <v>339</v>
      </c>
      <c r="C143" s="266">
        <v>4</v>
      </c>
      <c r="D143" s="266">
        <v>2</v>
      </c>
      <c r="E143" s="265">
        <v>200</v>
      </c>
      <c r="F143" s="265">
        <f>C143*D143*E143</f>
        <v>1600</v>
      </c>
      <c r="G143" s="266">
        <v>4</v>
      </c>
      <c r="H143" s="266">
        <v>4</v>
      </c>
      <c r="I143" s="265">
        <v>300</v>
      </c>
      <c r="J143" s="265">
        <f>G143*H143*I143</f>
        <v>4800</v>
      </c>
      <c r="K143" s="266">
        <v>4</v>
      </c>
      <c r="L143" s="266">
        <v>4</v>
      </c>
      <c r="M143" s="265">
        <v>100</v>
      </c>
      <c r="N143" s="265">
        <f t="shared" si="7"/>
        <v>1600</v>
      </c>
      <c r="O143" s="238"/>
      <c r="P143" s="264"/>
      <c r="Q143" s="252">
        <f>SUM(F143,J143,N143)</f>
        <v>8000</v>
      </c>
      <c r="R143" s="327"/>
      <c r="S143" s="514"/>
      <c r="T143" s="263"/>
      <c r="U143" s="435"/>
    </row>
    <row r="144" spans="1:21" s="190" customFormat="1" ht="12">
      <c r="A144" s="248">
        <v>8</v>
      </c>
      <c r="B144" s="242" t="s">
        <v>1433</v>
      </c>
      <c r="C144" s="190">
        <v>1</v>
      </c>
      <c r="D144" s="190">
        <v>2</v>
      </c>
      <c r="E144" s="190">
        <v>5872.5</v>
      </c>
      <c r="F144" s="265">
        <f>C144*D144*E144</f>
        <v>11745</v>
      </c>
      <c r="G144" s="190">
        <v>1</v>
      </c>
      <c r="H144" s="190">
        <v>10</v>
      </c>
      <c r="I144" s="242">
        <v>300</v>
      </c>
      <c r="J144" s="236">
        <f>G144*H144*I144</f>
        <v>3000</v>
      </c>
      <c r="K144" s="190">
        <v>1</v>
      </c>
      <c r="L144" s="190">
        <v>10</v>
      </c>
      <c r="M144" s="242">
        <v>180</v>
      </c>
      <c r="N144" s="236">
        <f t="shared" si="7"/>
        <v>1800</v>
      </c>
      <c r="O144" s="236"/>
      <c r="P144" s="236"/>
      <c r="Q144" s="1628">
        <f>F144+J144+N144+N145</f>
        <v>17145</v>
      </c>
      <c r="T144" s="191"/>
      <c r="U144" s="435"/>
    </row>
    <row r="145" spans="1:21" s="190" customFormat="1" ht="12">
      <c r="A145" s="326"/>
      <c r="B145" s="261"/>
      <c r="C145" s="327"/>
      <c r="D145" s="327"/>
      <c r="E145" s="327"/>
      <c r="F145" s="238"/>
      <c r="G145" s="327"/>
      <c r="H145" s="327"/>
      <c r="I145" s="261">
        <v>0</v>
      </c>
      <c r="J145" s="238">
        <f>G145*H145*I145</f>
        <v>0</v>
      </c>
      <c r="K145" s="327">
        <v>1</v>
      </c>
      <c r="L145" s="327">
        <v>6</v>
      </c>
      <c r="M145" s="261">
        <v>100</v>
      </c>
      <c r="N145" s="238">
        <f t="shared" si="7"/>
        <v>600</v>
      </c>
      <c r="O145" s="238"/>
      <c r="P145" s="238"/>
      <c r="Q145" s="238"/>
      <c r="R145" s="327"/>
      <c r="S145" s="327"/>
      <c r="T145" s="191"/>
      <c r="U145" s="435"/>
    </row>
    <row r="146" spans="1:21" s="190" customFormat="1" ht="24">
      <c r="A146" s="248">
        <v>9</v>
      </c>
      <c r="B146" s="190" t="s">
        <v>1116</v>
      </c>
      <c r="C146" s="262">
        <v>2</v>
      </c>
      <c r="D146" s="190">
        <v>2</v>
      </c>
      <c r="E146" s="190">
        <v>300</v>
      </c>
      <c r="F146" s="243">
        <f>C146*D146*E146</f>
        <v>1200</v>
      </c>
      <c r="G146" s="190">
        <v>2</v>
      </c>
      <c r="H146" s="190">
        <v>14</v>
      </c>
      <c r="I146" s="190">
        <v>300</v>
      </c>
      <c r="J146" s="236">
        <f>G146*H146*I146</f>
        <v>8400</v>
      </c>
      <c r="K146" s="190">
        <v>2</v>
      </c>
      <c r="L146" s="190">
        <v>14</v>
      </c>
      <c r="M146" s="190">
        <v>200</v>
      </c>
      <c r="N146" s="236">
        <f t="shared" si="7"/>
        <v>5600</v>
      </c>
      <c r="O146" s="236"/>
      <c r="P146" s="236"/>
      <c r="Q146" s="257">
        <f>SUM(F146,J146,N146:N147)</f>
        <v>15200</v>
      </c>
      <c r="S146" s="262"/>
      <c r="T146" s="191"/>
      <c r="U146" s="435"/>
    </row>
    <row r="147" spans="1:21" s="190" customFormat="1" ht="12">
      <c r="A147" s="326"/>
      <c r="B147" s="327" t="s">
        <v>292</v>
      </c>
      <c r="C147" s="514"/>
      <c r="D147" s="327"/>
      <c r="E147" s="327"/>
      <c r="F147" s="238"/>
      <c r="G147" s="327"/>
      <c r="H147" s="327"/>
      <c r="I147" s="327"/>
      <c r="J147" s="238"/>
      <c r="K147" s="327">
        <v>0</v>
      </c>
      <c r="L147" s="327"/>
      <c r="M147" s="327">
        <v>0</v>
      </c>
      <c r="N147" s="238">
        <f t="shared" si="7"/>
        <v>0</v>
      </c>
      <c r="O147" s="238"/>
      <c r="P147" s="238"/>
      <c r="Q147" s="238"/>
      <c r="R147" s="327"/>
      <c r="S147" s="514"/>
      <c r="T147" s="191" t="s">
        <v>541</v>
      </c>
      <c r="U147" s="435"/>
    </row>
    <row r="148" spans="1:21" s="190" customFormat="1" ht="14.25" customHeight="1" thickBot="1">
      <c r="A148" s="326">
        <v>10</v>
      </c>
      <c r="B148" s="327" t="s">
        <v>729</v>
      </c>
      <c r="C148" s="514">
        <v>8</v>
      </c>
      <c r="D148" s="327">
        <v>4</v>
      </c>
      <c r="E148" s="327">
        <v>20</v>
      </c>
      <c r="F148" s="238">
        <f>C148*D148*E148</f>
        <v>640</v>
      </c>
      <c r="G148" s="327"/>
      <c r="H148" s="327"/>
      <c r="I148" s="327"/>
      <c r="J148" s="238">
        <f>G148*H148*I148</f>
        <v>0</v>
      </c>
      <c r="K148" s="327">
        <v>8</v>
      </c>
      <c r="L148" s="327">
        <v>2</v>
      </c>
      <c r="M148" s="327">
        <v>100</v>
      </c>
      <c r="N148" s="238">
        <f t="shared" si="7"/>
        <v>1600</v>
      </c>
      <c r="O148" s="264"/>
      <c r="P148" s="264"/>
      <c r="Q148" s="252">
        <f>SUM(F148,J148,N148)</f>
        <v>2240</v>
      </c>
      <c r="R148" s="327"/>
      <c r="S148" s="514"/>
      <c r="T148" s="191"/>
      <c r="U148" s="435" t="s">
        <v>318</v>
      </c>
    </row>
    <row r="149" spans="1:22" s="783" customFormat="1" ht="14.25" customHeight="1" thickBot="1">
      <c r="A149" s="775"/>
      <c r="B149" s="777" t="s">
        <v>1783</v>
      </c>
      <c r="C149" s="776"/>
      <c r="D149" s="776"/>
      <c r="E149" s="777"/>
      <c r="F149" s="777">
        <f>SUM(F133:F148)</f>
        <v>43785</v>
      </c>
      <c r="G149" s="776"/>
      <c r="H149" s="776"/>
      <c r="I149" s="777"/>
      <c r="J149" s="777">
        <f>SUM(J133:J148)</f>
        <v>33000</v>
      </c>
      <c r="K149" s="776"/>
      <c r="L149" s="776"/>
      <c r="M149" s="777"/>
      <c r="N149" s="777">
        <f>SUM(N133:N148)</f>
        <v>37560</v>
      </c>
      <c r="O149" s="759">
        <f>SUM(O133:O148)</f>
        <v>0</v>
      </c>
      <c r="P149" s="759">
        <f>SUM(P133:P148)</f>
        <v>9000</v>
      </c>
      <c r="Q149" s="759">
        <f>SUM(Q133:Q148)</f>
        <v>123345</v>
      </c>
      <c r="R149" s="774"/>
      <c r="S149" s="786"/>
      <c r="T149" s="759"/>
      <c r="U149" s="824"/>
      <c r="V149" s="822">
        <f>SUM(F149:P149)</f>
        <v>123345</v>
      </c>
    </row>
    <row r="150" spans="1:21" s="190" customFormat="1" ht="12.75" customHeight="1">
      <c r="A150" s="976"/>
      <c r="B150" s="977" t="s">
        <v>139</v>
      </c>
      <c r="C150" s="1937" t="s">
        <v>1776</v>
      </c>
      <c r="E150" s="242"/>
      <c r="F150" s="242"/>
      <c r="I150" s="242"/>
      <c r="J150" s="242"/>
      <c r="M150" s="242"/>
      <c r="N150" s="242"/>
      <c r="O150" s="242"/>
      <c r="P150" s="242"/>
      <c r="Q150" s="242"/>
      <c r="S150" s="262"/>
      <c r="T150" s="191"/>
      <c r="U150" s="435"/>
    </row>
    <row r="151" spans="1:21" s="190" customFormat="1" ht="12.75" customHeight="1">
      <c r="A151" s="248">
        <v>1</v>
      </c>
      <c r="B151" s="242" t="s">
        <v>340</v>
      </c>
      <c r="C151" s="1938"/>
      <c r="D151" s="190">
        <v>60</v>
      </c>
      <c r="E151" s="242">
        <v>200</v>
      </c>
      <c r="F151" s="242">
        <f>D151*E151</f>
        <v>12000</v>
      </c>
      <c r="I151" s="242"/>
      <c r="J151" s="242">
        <f>G151*H151*I151</f>
        <v>0</v>
      </c>
      <c r="M151" s="242"/>
      <c r="N151" s="242">
        <f aca="true" t="shared" si="8" ref="N151:N157">K151*L151*M151</f>
        <v>0</v>
      </c>
      <c r="O151" s="238"/>
      <c r="P151" s="236"/>
      <c r="Q151" s="252">
        <f>SUM(F151,J151,N151)</f>
        <v>12000</v>
      </c>
      <c r="S151" s="262"/>
      <c r="T151" s="191"/>
      <c r="U151" s="435"/>
    </row>
    <row r="152" spans="1:21" s="190" customFormat="1" ht="24">
      <c r="A152" s="249">
        <v>2</v>
      </c>
      <c r="B152" s="250" t="s">
        <v>1817</v>
      </c>
      <c r="C152" s="251">
        <v>4</v>
      </c>
      <c r="D152" s="251">
        <v>2</v>
      </c>
      <c r="E152" s="250">
        <v>400</v>
      </c>
      <c r="F152" s="250">
        <f>C152*D152*E152</f>
        <v>3200</v>
      </c>
      <c r="G152" s="251">
        <v>4</v>
      </c>
      <c r="H152" s="251">
        <v>3</v>
      </c>
      <c r="I152" s="250">
        <v>300</v>
      </c>
      <c r="J152" s="250">
        <f>G152*H152*I152</f>
        <v>3600</v>
      </c>
      <c r="K152" s="251">
        <v>4</v>
      </c>
      <c r="L152" s="251">
        <v>3</v>
      </c>
      <c r="M152" s="250">
        <v>180</v>
      </c>
      <c r="N152" s="250">
        <f t="shared" si="8"/>
        <v>2160</v>
      </c>
      <c r="O152" s="264"/>
      <c r="P152" s="252"/>
      <c r="Q152" s="252">
        <f>SUM(F152,J152,N152)</f>
        <v>8960</v>
      </c>
      <c r="S152" s="262"/>
      <c r="T152" s="191"/>
      <c r="U152" s="435"/>
    </row>
    <row r="153" spans="1:21" s="190" customFormat="1" ht="24">
      <c r="A153" s="249">
        <v>3</v>
      </c>
      <c r="B153" s="250" t="s">
        <v>564</v>
      </c>
      <c r="C153" s="251">
        <v>2</v>
      </c>
      <c r="D153" s="251">
        <v>2</v>
      </c>
      <c r="E153" s="250">
        <v>600</v>
      </c>
      <c r="F153" s="250">
        <f>C153*D153*E153</f>
        <v>2400</v>
      </c>
      <c r="G153" s="251">
        <v>2</v>
      </c>
      <c r="H153" s="251">
        <v>3</v>
      </c>
      <c r="I153" s="250">
        <v>300</v>
      </c>
      <c r="J153" s="250">
        <f>G153*H153*I153</f>
        <v>1800</v>
      </c>
      <c r="K153" s="251">
        <v>2</v>
      </c>
      <c r="L153" s="251">
        <v>3</v>
      </c>
      <c r="M153" s="250">
        <v>180</v>
      </c>
      <c r="N153" s="250">
        <f t="shared" si="8"/>
        <v>1080</v>
      </c>
      <c r="O153" s="264"/>
      <c r="P153" s="264"/>
      <c r="Q153" s="252">
        <f>SUM(F153,J153,N153)</f>
        <v>5280</v>
      </c>
      <c r="S153" s="262"/>
      <c r="T153" s="191"/>
      <c r="U153" s="435"/>
    </row>
    <row r="154" spans="1:21" s="190" customFormat="1" ht="20.25" customHeight="1">
      <c r="A154" s="249">
        <v>4</v>
      </c>
      <c r="B154" s="1935" t="s">
        <v>477</v>
      </c>
      <c r="C154" s="251">
        <v>7</v>
      </c>
      <c r="D154" s="251">
        <v>2</v>
      </c>
      <c r="E154" s="250">
        <v>230</v>
      </c>
      <c r="F154" s="250">
        <f>C154*D154*E154</f>
        <v>3220</v>
      </c>
      <c r="G154" s="251">
        <v>7</v>
      </c>
      <c r="H154" s="251">
        <v>2</v>
      </c>
      <c r="I154" s="250">
        <v>300</v>
      </c>
      <c r="J154" s="250">
        <f>G154*H154*I154</f>
        <v>4200</v>
      </c>
      <c r="K154" s="251">
        <v>7</v>
      </c>
      <c r="L154" s="251">
        <v>2</v>
      </c>
      <c r="M154" s="250">
        <v>180</v>
      </c>
      <c r="N154" s="250">
        <f t="shared" si="8"/>
        <v>2520</v>
      </c>
      <c r="O154" s="242"/>
      <c r="P154" s="242"/>
      <c r="Q154" s="252">
        <f>SUM(F154,J154,N154:N155)</f>
        <v>10640</v>
      </c>
      <c r="S154" s="262"/>
      <c r="T154" s="191"/>
      <c r="U154" s="435"/>
    </row>
    <row r="155" spans="1:23" s="189" customFormat="1" ht="12.75" customHeight="1">
      <c r="A155" s="326" t="s">
        <v>318</v>
      </c>
      <c r="B155" s="1936"/>
      <c r="C155" s="327"/>
      <c r="D155" s="327"/>
      <c r="E155" s="261"/>
      <c r="F155" s="261"/>
      <c r="G155" s="327"/>
      <c r="H155" s="327"/>
      <c r="I155" s="261"/>
      <c r="J155" s="261"/>
      <c r="K155" s="327">
        <v>7</v>
      </c>
      <c r="L155" s="327">
        <v>1</v>
      </c>
      <c r="M155" s="261">
        <v>100</v>
      </c>
      <c r="N155" s="261">
        <f t="shared" si="8"/>
        <v>700</v>
      </c>
      <c r="O155" s="261"/>
      <c r="P155" s="261"/>
      <c r="Q155" s="261" t="s">
        <v>318</v>
      </c>
      <c r="R155" s="190"/>
      <c r="S155" s="262"/>
      <c r="T155" s="191"/>
      <c r="U155" s="435" t="s">
        <v>318</v>
      </c>
      <c r="V155" s="190"/>
      <c r="W155" s="190"/>
    </row>
    <row r="156" spans="1:23" s="189" customFormat="1" ht="12">
      <c r="A156" s="249">
        <v>5</v>
      </c>
      <c r="B156" s="250" t="s">
        <v>149</v>
      </c>
      <c r="C156" s="251">
        <v>1</v>
      </c>
      <c r="D156" s="251">
        <v>2</v>
      </c>
      <c r="E156" s="250">
        <v>3000</v>
      </c>
      <c r="F156" s="250">
        <f>C156*D156*E156</f>
        <v>6000</v>
      </c>
      <c r="G156" s="251">
        <v>1</v>
      </c>
      <c r="H156" s="251">
        <v>15</v>
      </c>
      <c r="I156" s="250">
        <v>300</v>
      </c>
      <c r="J156" s="250">
        <f>G156*H156*I156</f>
        <v>4500</v>
      </c>
      <c r="K156" s="251">
        <v>1</v>
      </c>
      <c r="L156" s="251">
        <v>15</v>
      </c>
      <c r="M156" s="250">
        <v>180</v>
      </c>
      <c r="N156" s="250">
        <f t="shared" si="8"/>
        <v>2700</v>
      </c>
      <c r="O156" s="242"/>
      <c r="P156" s="242"/>
      <c r="Q156" s="252">
        <f>N156+N157+F156+J156</f>
        <v>14000</v>
      </c>
      <c r="R156" s="190"/>
      <c r="S156" s="262"/>
      <c r="T156" s="191"/>
      <c r="U156" s="435" t="s">
        <v>318</v>
      </c>
      <c r="V156" s="190"/>
      <c r="W156" s="190"/>
    </row>
    <row r="157" spans="1:23" s="189" customFormat="1" ht="12">
      <c r="A157" s="326"/>
      <c r="B157" s="261" t="s">
        <v>150</v>
      </c>
      <c r="C157" s="327"/>
      <c r="D157" s="327"/>
      <c r="E157" s="261"/>
      <c r="F157" s="261"/>
      <c r="G157" s="327"/>
      <c r="H157" s="327"/>
      <c r="I157" s="261"/>
      <c r="J157" s="261"/>
      <c r="K157" s="327">
        <v>1</v>
      </c>
      <c r="L157" s="327">
        <v>8</v>
      </c>
      <c r="M157" s="261">
        <v>100</v>
      </c>
      <c r="N157" s="261">
        <f t="shared" si="8"/>
        <v>800</v>
      </c>
      <c r="O157" s="261"/>
      <c r="P157" s="261"/>
      <c r="Q157" s="261"/>
      <c r="R157" s="327"/>
      <c r="S157" s="514"/>
      <c r="T157" s="191"/>
      <c r="U157" s="435"/>
      <c r="V157" s="190"/>
      <c r="W157" s="190"/>
    </row>
    <row r="158" spans="1:23" s="189" customFormat="1" ht="24">
      <c r="A158" s="274">
        <v>6</v>
      </c>
      <c r="B158" s="265" t="s">
        <v>478</v>
      </c>
      <c r="C158" s="267">
        <v>10</v>
      </c>
      <c r="D158" s="266">
        <v>2</v>
      </c>
      <c r="E158" s="265">
        <v>33</v>
      </c>
      <c r="F158" s="265">
        <f>C158*D158*E158</f>
        <v>660</v>
      </c>
      <c r="G158" s="266"/>
      <c r="H158" s="266"/>
      <c r="I158" s="265"/>
      <c r="J158" s="265"/>
      <c r="K158" s="266"/>
      <c r="L158" s="266"/>
      <c r="M158" s="265"/>
      <c r="N158" s="265"/>
      <c r="O158" s="264"/>
      <c r="P158" s="264"/>
      <c r="Q158" s="252">
        <f>SUM(F158,J158,N158)</f>
        <v>660</v>
      </c>
      <c r="R158" s="190"/>
      <c r="S158" s="262"/>
      <c r="T158" s="191"/>
      <c r="U158" s="435"/>
      <c r="V158" s="190"/>
      <c r="W158" s="190"/>
    </row>
    <row r="159" spans="1:21" s="190" customFormat="1" ht="24">
      <c r="A159" s="1102">
        <v>7</v>
      </c>
      <c r="B159" s="1102" t="s">
        <v>1056</v>
      </c>
      <c r="C159" s="258">
        <v>3</v>
      </c>
      <c r="D159" s="251">
        <v>2</v>
      </c>
      <c r="E159" s="251">
        <v>4500</v>
      </c>
      <c r="F159" s="252">
        <f>C159*D159*E159</f>
        <v>27000</v>
      </c>
      <c r="G159" s="251">
        <v>3</v>
      </c>
      <c r="H159" s="251">
        <v>3</v>
      </c>
      <c r="I159" s="251">
        <v>550</v>
      </c>
      <c r="J159" s="252">
        <f>G159*H159*I159</f>
        <v>4950</v>
      </c>
      <c r="K159" s="251">
        <v>3</v>
      </c>
      <c r="L159" s="251">
        <v>3</v>
      </c>
      <c r="M159" s="251">
        <v>180</v>
      </c>
      <c r="N159" s="252">
        <f aca="true" t="shared" si="9" ref="N159:N166">K159*L159*M159</f>
        <v>1620</v>
      </c>
      <c r="O159" s="236"/>
      <c r="P159" s="236"/>
      <c r="Q159" s="252">
        <f>SUM(F159,J159,N159:N160)</f>
        <v>35970</v>
      </c>
      <c r="S159" s="262"/>
      <c r="T159" s="191"/>
      <c r="U159" s="435" t="s">
        <v>318</v>
      </c>
    </row>
    <row r="160" spans="1:21" s="190" customFormat="1" ht="12">
      <c r="A160" s="1103"/>
      <c r="B160" s="1103" t="s">
        <v>492</v>
      </c>
      <c r="C160" s="514"/>
      <c r="D160" s="327"/>
      <c r="E160" s="327"/>
      <c r="F160" s="238"/>
      <c r="G160" s="327"/>
      <c r="H160" s="327"/>
      <c r="I160" s="327"/>
      <c r="J160" s="238"/>
      <c r="K160" s="327">
        <v>3</v>
      </c>
      <c r="L160" s="327">
        <v>8</v>
      </c>
      <c r="M160" s="327">
        <v>100</v>
      </c>
      <c r="N160" s="238">
        <f t="shared" si="9"/>
        <v>2400</v>
      </c>
      <c r="O160" s="238"/>
      <c r="P160" s="238"/>
      <c r="Q160" s="238"/>
      <c r="S160" s="262"/>
      <c r="T160" s="191"/>
      <c r="U160" s="435"/>
    </row>
    <row r="161" spans="1:21" s="190" customFormat="1" ht="20.25" customHeight="1">
      <c r="A161" s="249">
        <v>8</v>
      </c>
      <c r="B161" s="1935" t="s">
        <v>479</v>
      </c>
      <c r="C161" s="251">
        <v>3</v>
      </c>
      <c r="D161" s="251">
        <v>2</v>
      </c>
      <c r="E161" s="250">
        <v>3000</v>
      </c>
      <c r="F161" s="250">
        <f>C161*D161*E161</f>
        <v>18000</v>
      </c>
      <c r="G161" s="251">
        <v>3</v>
      </c>
      <c r="H161" s="251">
        <v>3</v>
      </c>
      <c r="I161" s="250">
        <v>550</v>
      </c>
      <c r="J161" s="250">
        <f>G161*H161*I161</f>
        <v>4950</v>
      </c>
      <c r="K161" s="251">
        <v>3</v>
      </c>
      <c r="L161" s="251">
        <v>3</v>
      </c>
      <c r="M161" s="250">
        <v>180</v>
      </c>
      <c r="N161" s="250">
        <f t="shared" si="9"/>
        <v>1620</v>
      </c>
      <c r="O161" s="862"/>
      <c r="P161" s="862"/>
      <c r="Q161" s="252">
        <f>SUM(F161,J161,N161:O162)</f>
        <v>26370</v>
      </c>
      <c r="S161" s="262"/>
      <c r="T161" s="191"/>
      <c r="U161" s="244"/>
    </row>
    <row r="162" spans="1:21" s="190" customFormat="1" ht="12">
      <c r="A162" s="326"/>
      <c r="B162" s="1936"/>
      <c r="C162" s="327"/>
      <c r="D162" s="327"/>
      <c r="E162" s="261"/>
      <c r="F162" s="261"/>
      <c r="G162" s="327"/>
      <c r="H162" s="327"/>
      <c r="I162" s="261"/>
      <c r="J162" s="261"/>
      <c r="K162" s="327">
        <v>3</v>
      </c>
      <c r="L162" s="327">
        <v>6</v>
      </c>
      <c r="M162" s="261">
        <v>100</v>
      </c>
      <c r="N162" s="261">
        <f t="shared" si="9"/>
        <v>1800</v>
      </c>
      <c r="O162" s="261"/>
      <c r="P162" s="261"/>
      <c r="Q162" s="261"/>
      <c r="S162" s="262"/>
      <c r="T162" s="191"/>
      <c r="U162" s="435"/>
    </row>
    <row r="163" spans="1:21" s="190" customFormat="1" ht="12">
      <c r="A163" s="249">
        <v>9</v>
      </c>
      <c r="B163" s="250" t="s">
        <v>684</v>
      </c>
      <c r="C163" s="251">
        <v>5</v>
      </c>
      <c r="D163" s="251">
        <v>2</v>
      </c>
      <c r="E163" s="250">
        <v>1000</v>
      </c>
      <c r="F163" s="250">
        <f>C163*D163*E163</f>
        <v>10000</v>
      </c>
      <c r="G163" s="251">
        <v>5</v>
      </c>
      <c r="H163" s="251">
        <v>4</v>
      </c>
      <c r="I163" s="250">
        <v>300</v>
      </c>
      <c r="J163" s="250">
        <f>G163*H163*I163</f>
        <v>6000</v>
      </c>
      <c r="K163" s="251">
        <v>5</v>
      </c>
      <c r="L163" s="251">
        <v>4</v>
      </c>
      <c r="M163" s="250">
        <v>180</v>
      </c>
      <c r="N163" s="250">
        <f t="shared" si="9"/>
        <v>3600</v>
      </c>
      <c r="O163" s="242"/>
      <c r="P163" s="242"/>
      <c r="Q163" s="252">
        <f>SUM(F163,J163,N163:N164)</f>
        <v>21600</v>
      </c>
      <c r="S163" s="262"/>
      <c r="T163" s="191"/>
      <c r="U163" s="435"/>
    </row>
    <row r="164" spans="1:21" s="190" customFormat="1" ht="12">
      <c r="A164" s="326"/>
      <c r="B164" s="261" t="s">
        <v>685</v>
      </c>
      <c r="C164" s="327"/>
      <c r="D164" s="327"/>
      <c r="E164" s="261"/>
      <c r="F164" s="261"/>
      <c r="G164" s="327"/>
      <c r="H164" s="327"/>
      <c r="I164" s="261"/>
      <c r="J164" s="261"/>
      <c r="K164" s="327">
        <v>5</v>
      </c>
      <c r="L164" s="327">
        <v>4</v>
      </c>
      <c r="M164" s="261">
        <v>100</v>
      </c>
      <c r="N164" s="261">
        <f t="shared" si="9"/>
        <v>2000</v>
      </c>
      <c r="O164" s="261"/>
      <c r="P164" s="261"/>
      <c r="Q164" s="261"/>
      <c r="R164" s="327"/>
      <c r="S164" s="514"/>
      <c r="T164" s="263"/>
      <c r="U164" s="435"/>
    </row>
    <row r="165" spans="1:21" s="190" customFormat="1" ht="12">
      <c r="A165" s="248">
        <v>10</v>
      </c>
      <c r="B165" s="242" t="s">
        <v>448</v>
      </c>
      <c r="C165" s="190">
        <v>1</v>
      </c>
      <c r="D165" s="190">
        <v>2</v>
      </c>
      <c r="E165" s="242">
        <v>5000</v>
      </c>
      <c r="F165" s="242">
        <f>C165*D165*E165</f>
        <v>10000</v>
      </c>
      <c r="G165" s="190">
        <v>1</v>
      </c>
      <c r="H165" s="190">
        <v>5</v>
      </c>
      <c r="I165" s="242">
        <v>550</v>
      </c>
      <c r="J165" s="242">
        <f>G165*H165*I165</f>
        <v>2750</v>
      </c>
      <c r="K165" s="190">
        <v>1</v>
      </c>
      <c r="L165" s="190">
        <v>5</v>
      </c>
      <c r="M165" s="242">
        <v>180</v>
      </c>
      <c r="N165" s="242">
        <f t="shared" si="9"/>
        <v>900</v>
      </c>
      <c r="O165" s="242"/>
      <c r="P165" s="242"/>
      <c r="Q165" s="252">
        <f>SUM(F165,J165,N165:N166)</f>
        <v>14250</v>
      </c>
      <c r="S165" s="262"/>
      <c r="T165" s="191"/>
      <c r="U165" s="435"/>
    </row>
    <row r="166" spans="1:21" s="190" customFormat="1" ht="15" customHeight="1" thickBot="1">
      <c r="A166" s="326"/>
      <c r="B166" s="261" t="s">
        <v>1007</v>
      </c>
      <c r="C166" s="327"/>
      <c r="D166" s="327"/>
      <c r="E166" s="261"/>
      <c r="F166" s="261"/>
      <c r="G166" s="327"/>
      <c r="H166" s="327"/>
      <c r="I166" s="261"/>
      <c r="J166" s="261"/>
      <c r="K166" s="327">
        <v>1</v>
      </c>
      <c r="L166" s="327">
        <v>6</v>
      </c>
      <c r="M166" s="261">
        <v>100</v>
      </c>
      <c r="N166" s="261">
        <f t="shared" si="9"/>
        <v>600</v>
      </c>
      <c r="O166" s="261"/>
      <c r="P166" s="261"/>
      <c r="Q166" s="261"/>
      <c r="S166" s="262"/>
      <c r="T166" s="191" t="s">
        <v>541</v>
      </c>
      <c r="U166" s="435"/>
    </row>
    <row r="167" spans="1:22" s="783" customFormat="1" ht="12.75" customHeight="1" thickBot="1">
      <c r="A167" s="775"/>
      <c r="B167" s="777" t="s">
        <v>1783</v>
      </c>
      <c r="C167" s="776"/>
      <c r="D167" s="776"/>
      <c r="E167" s="777"/>
      <c r="F167" s="759">
        <f aca="true" t="shared" si="10" ref="F167:P167">SUM(F151:F166)</f>
        <v>92480</v>
      </c>
      <c r="G167" s="759"/>
      <c r="H167" s="759"/>
      <c r="I167" s="759"/>
      <c r="J167" s="759">
        <f t="shared" si="10"/>
        <v>32750</v>
      </c>
      <c r="K167" s="759"/>
      <c r="L167" s="759"/>
      <c r="M167" s="759"/>
      <c r="N167" s="759">
        <f t="shared" si="10"/>
        <v>24500</v>
      </c>
      <c r="O167" s="759">
        <f t="shared" si="10"/>
        <v>0</v>
      </c>
      <c r="P167" s="759">
        <f t="shared" si="10"/>
        <v>0</v>
      </c>
      <c r="Q167" s="759">
        <f>SUM(Q151:Q166)</f>
        <v>149730</v>
      </c>
      <c r="R167" s="774"/>
      <c r="S167" s="786"/>
      <c r="T167" s="759"/>
      <c r="U167" s="824"/>
      <c r="V167" s="822">
        <f>SUM(F167:P167)</f>
        <v>149730</v>
      </c>
    </row>
    <row r="168" spans="1:21" s="190" customFormat="1" ht="12.75" customHeight="1">
      <c r="A168" s="976"/>
      <c r="B168" s="977" t="s">
        <v>140</v>
      </c>
      <c r="C168" s="1129" t="s">
        <v>318</v>
      </c>
      <c r="E168" s="242"/>
      <c r="F168" s="242"/>
      <c r="I168" s="242"/>
      <c r="J168" s="242"/>
      <c r="M168" s="242"/>
      <c r="N168" s="242"/>
      <c r="O168" s="242"/>
      <c r="P168" s="242"/>
      <c r="Q168" s="242"/>
      <c r="S168" s="262"/>
      <c r="T168" s="191"/>
      <c r="U168" s="435"/>
    </row>
    <row r="169" spans="1:21" s="190" customFormat="1" ht="27.75" customHeight="1">
      <c r="A169" s="248">
        <v>1</v>
      </c>
      <c r="B169" s="242" t="s">
        <v>95</v>
      </c>
      <c r="C169" s="190">
        <v>2</v>
      </c>
      <c r="D169" s="190">
        <v>2</v>
      </c>
      <c r="E169" s="242">
        <v>500</v>
      </c>
      <c r="F169" s="242">
        <f>C169*D169*E169</f>
        <v>2000</v>
      </c>
      <c r="G169" s="190">
        <v>2</v>
      </c>
      <c r="H169" s="190">
        <v>5</v>
      </c>
      <c r="I169" s="242">
        <v>200</v>
      </c>
      <c r="J169" s="242">
        <f>G169*H169*I169</f>
        <v>2000</v>
      </c>
      <c r="K169" s="190">
        <v>2</v>
      </c>
      <c r="L169" s="190">
        <v>5</v>
      </c>
      <c r="M169" s="242">
        <v>180</v>
      </c>
      <c r="N169" s="242">
        <f aca="true" t="shared" si="11" ref="N169:N194">K169*L169*M169</f>
        <v>1800</v>
      </c>
      <c r="O169" s="242"/>
      <c r="P169" s="242"/>
      <c r="Q169" s="243"/>
      <c r="S169" s="262"/>
      <c r="T169" s="191"/>
      <c r="U169" s="435"/>
    </row>
    <row r="170" spans="1:21" s="190" customFormat="1" ht="15.75" customHeight="1">
      <c r="A170" s="248"/>
      <c r="B170" s="242" t="s">
        <v>1207</v>
      </c>
      <c r="E170" s="242"/>
      <c r="F170" s="236"/>
      <c r="I170" s="242"/>
      <c r="J170" s="236"/>
      <c r="K170" s="190">
        <v>2</v>
      </c>
      <c r="L170" s="190">
        <v>1</v>
      </c>
      <c r="M170" s="242">
        <v>100</v>
      </c>
      <c r="N170" s="236">
        <f t="shared" si="11"/>
        <v>200</v>
      </c>
      <c r="O170" s="242"/>
      <c r="P170" s="242"/>
      <c r="Q170" s="242"/>
      <c r="S170" s="262"/>
      <c r="T170" s="191"/>
      <c r="U170" s="435"/>
    </row>
    <row r="171" spans="1:21" s="190" customFormat="1" ht="15.75" customHeight="1">
      <c r="A171" s="248"/>
      <c r="B171" s="242"/>
      <c r="E171" s="261"/>
      <c r="F171" s="242"/>
      <c r="I171" s="261"/>
      <c r="J171" s="242"/>
      <c r="K171" s="190">
        <v>7</v>
      </c>
      <c r="L171" s="190">
        <v>2</v>
      </c>
      <c r="M171" s="261">
        <v>100</v>
      </c>
      <c r="N171" s="236">
        <f t="shared" si="11"/>
        <v>1400</v>
      </c>
      <c r="O171" s="238"/>
      <c r="P171" s="238"/>
      <c r="Q171" s="331">
        <f>SUM(F169,J169,N169:N171)</f>
        <v>7400</v>
      </c>
      <c r="S171" s="262"/>
      <c r="T171" s="191"/>
      <c r="U171" s="435"/>
    </row>
    <row r="172" spans="1:23" s="189" customFormat="1" ht="24" customHeight="1">
      <c r="A172" s="274">
        <v>2</v>
      </c>
      <c r="B172" s="265" t="s">
        <v>565</v>
      </c>
      <c r="C172" s="266" t="s">
        <v>1776</v>
      </c>
      <c r="D172" s="266">
        <v>20</v>
      </c>
      <c r="E172" s="266">
        <v>250</v>
      </c>
      <c r="F172" s="264">
        <f>D172*E172</f>
        <v>5000</v>
      </c>
      <c r="G172" s="266"/>
      <c r="H172" s="266"/>
      <c r="I172" s="266">
        <v>0</v>
      </c>
      <c r="J172" s="264">
        <f>G172*H172*I172</f>
        <v>0</v>
      </c>
      <c r="K172" s="266"/>
      <c r="L172" s="266"/>
      <c r="M172" s="266"/>
      <c r="N172" s="264">
        <f t="shared" si="11"/>
        <v>0</v>
      </c>
      <c r="O172" s="264"/>
      <c r="P172" s="264"/>
      <c r="Q172" s="307">
        <f>SUM(F172,J172,N172)</f>
        <v>5000</v>
      </c>
      <c r="R172" s="190"/>
      <c r="S172" s="262"/>
      <c r="T172" s="191"/>
      <c r="U172" s="435" t="s">
        <v>318</v>
      </c>
      <c r="V172" s="190"/>
      <c r="W172" s="190"/>
    </row>
    <row r="173" spans="1:23" s="189" customFormat="1" ht="15.75" customHeight="1">
      <c r="A173" s="248">
        <v>3</v>
      </c>
      <c r="B173" s="242" t="s">
        <v>997</v>
      </c>
      <c r="C173" s="190">
        <v>2</v>
      </c>
      <c r="D173" s="190">
        <v>2</v>
      </c>
      <c r="E173" s="242">
        <v>500</v>
      </c>
      <c r="F173" s="242">
        <f>C173*D173*E173</f>
        <v>2000</v>
      </c>
      <c r="G173" s="190">
        <v>2</v>
      </c>
      <c r="H173" s="190">
        <v>15</v>
      </c>
      <c r="I173" s="242">
        <v>300</v>
      </c>
      <c r="J173" s="252">
        <f>G173*H173*I173</f>
        <v>9000</v>
      </c>
      <c r="K173" s="190">
        <v>2</v>
      </c>
      <c r="L173" s="190">
        <v>15</v>
      </c>
      <c r="M173" s="242">
        <v>180</v>
      </c>
      <c r="N173" s="242">
        <f t="shared" si="11"/>
        <v>5400</v>
      </c>
      <c r="O173" s="242">
        <v>0</v>
      </c>
      <c r="P173" s="242"/>
      <c r="Q173" s="243">
        <f>F173+J173+J174+N173+N174</f>
        <v>17000</v>
      </c>
      <c r="R173" s="190"/>
      <c r="S173" s="262"/>
      <c r="T173" s="191" t="s">
        <v>541</v>
      </c>
      <c r="U173" s="1945" t="s">
        <v>566</v>
      </c>
      <c r="V173" s="190"/>
      <c r="W173" s="190"/>
    </row>
    <row r="174" spans="1:23" s="189" customFormat="1" ht="12">
      <c r="A174" s="326"/>
      <c r="B174" s="261" t="s">
        <v>1214</v>
      </c>
      <c r="C174" s="327"/>
      <c r="D174" s="327"/>
      <c r="E174" s="261"/>
      <c r="F174" s="261"/>
      <c r="G174" s="327"/>
      <c r="H174" s="327"/>
      <c r="I174" s="261"/>
      <c r="J174" s="238">
        <f>G174*H174*I174</f>
        <v>0</v>
      </c>
      <c r="K174" s="327">
        <v>2</v>
      </c>
      <c r="L174" s="327">
        <v>3</v>
      </c>
      <c r="M174" s="261">
        <v>100</v>
      </c>
      <c r="N174" s="261">
        <f t="shared" si="11"/>
        <v>600</v>
      </c>
      <c r="O174" s="261"/>
      <c r="P174" s="261"/>
      <c r="Q174" s="261"/>
      <c r="R174" s="190"/>
      <c r="S174" s="262"/>
      <c r="T174" s="191"/>
      <c r="U174" s="1945"/>
      <c r="V174" s="190"/>
      <c r="W174" s="190"/>
    </row>
    <row r="175" spans="1:23" s="405" customFormat="1" ht="24">
      <c r="A175" s="1640">
        <v>4</v>
      </c>
      <c r="B175" s="403" t="s">
        <v>998</v>
      </c>
      <c r="C175" s="402">
        <v>2</v>
      </c>
      <c r="D175" s="402">
        <v>2</v>
      </c>
      <c r="E175" s="403">
        <v>300</v>
      </c>
      <c r="F175" s="403">
        <f>C175*D175*E175</f>
        <v>1200</v>
      </c>
      <c r="G175" s="402">
        <v>2</v>
      </c>
      <c r="H175" s="402">
        <v>3</v>
      </c>
      <c r="I175" s="403">
        <v>170</v>
      </c>
      <c r="J175" s="403">
        <f>G175*H175*I175</f>
        <v>1020</v>
      </c>
      <c r="K175" s="402">
        <v>2</v>
      </c>
      <c r="L175" s="402">
        <v>1</v>
      </c>
      <c r="M175" s="403">
        <v>100</v>
      </c>
      <c r="N175" s="403">
        <f t="shared" si="11"/>
        <v>200</v>
      </c>
      <c r="O175" s="403"/>
      <c r="P175" s="403"/>
      <c r="Q175" s="1641">
        <f>F175+J175+N175+N176</f>
        <v>3320</v>
      </c>
      <c r="R175" s="402"/>
      <c r="S175" s="954"/>
      <c r="T175" s="1642"/>
      <c r="U175" s="1643"/>
      <c r="V175" s="402"/>
      <c r="W175" s="402"/>
    </row>
    <row r="176" spans="1:23" s="189" customFormat="1" ht="12">
      <c r="A176" s="248"/>
      <c r="B176" s="242"/>
      <c r="C176" s="190"/>
      <c r="D176" s="190"/>
      <c r="E176" s="242"/>
      <c r="F176" s="242"/>
      <c r="G176" s="190"/>
      <c r="H176" s="190"/>
      <c r="I176" s="242"/>
      <c r="J176" s="242"/>
      <c r="K176" s="190">
        <v>2</v>
      </c>
      <c r="L176" s="190">
        <v>3</v>
      </c>
      <c r="M176" s="242">
        <v>150</v>
      </c>
      <c r="N176" s="242">
        <f t="shared" si="11"/>
        <v>900</v>
      </c>
      <c r="O176" s="238"/>
      <c r="P176" s="238"/>
      <c r="Q176" s="238"/>
      <c r="R176" s="190"/>
      <c r="S176" s="262"/>
      <c r="T176" s="191"/>
      <c r="U176" s="435"/>
      <c r="V176" s="190"/>
      <c r="W176" s="190"/>
    </row>
    <row r="177" spans="1:21" s="190" customFormat="1" ht="15" customHeight="1">
      <c r="A177" s="249">
        <v>5</v>
      </c>
      <c r="B177" s="250" t="s">
        <v>269</v>
      </c>
      <c r="C177" s="251">
        <v>4</v>
      </c>
      <c r="D177" s="251">
        <v>2</v>
      </c>
      <c r="E177" s="250">
        <v>400</v>
      </c>
      <c r="F177" s="250">
        <f>C177*D177*E177</f>
        <v>3200</v>
      </c>
      <c r="G177" s="251">
        <v>4</v>
      </c>
      <c r="H177" s="251">
        <v>3</v>
      </c>
      <c r="I177" s="250">
        <v>300</v>
      </c>
      <c r="J177" s="250">
        <f>G177*H177*I177</f>
        <v>3600</v>
      </c>
      <c r="K177" s="251">
        <v>4</v>
      </c>
      <c r="L177" s="251">
        <v>3</v>
      </c>
      <c r="M177" s="250">
        <v>180</v>
      </c>
      <c r="N177" s="250">
        <f t="shared" si="11"/>
        <v>2160</v>
      </c>
      <c r="O177" s="242"/>
      <c r="P177" s="242"/>
      <c r="Q177" s="243">
        <f>SUM(F177,J177,N177:O178)</f>
        <v>9760</v>
      </c>
      <c r="S177" s="262"/>
      <c r="T177" s="191"/>
      <c r="U177" s="435" t="s">
        <v>318</v>
      </c>
    </row>
    <row r="178" spans="1:21" s="190" customFormat="1" ht="12">
      <c r="A178" s="326"/>
      <c r="B178" s="261" t="s">
        <v>1361</v>
      </c>
      <c r="C178" s="327"/>
      <c r="D178" s="327"/>
      <c r="E178" s="261"/>
      <c r="F178" s="261"/>
      <c r="G178" s="327"/>
      <c r="H178" s="327"/>
      <c r="I178" s="261"/>
      <c r="J178" s="261"/>
      <c r="K178" s="327">
        <v>4</v>
      </c>
      <c r="L178" s="327">
        <v>2</v>
      </c>
      <c r="M178" s="261">
        <v>100</v>
      </c>
      <c r="N178" s="261">
        <f t="shared" si="11"/>
        <v>800</v>
      </c>
      <c r="O178" s="261"/>
      <c r="P178" s="261"/>
      <c r="Q178" s="261"/>
      <c r="S178" s="262"/>
      <c r="T178" s="191"/>
      <c r="U178" s="435"/>
    </row>
    <row r="179" spans="1:21" s="190" customFormat="1" ht="25.5" customHeight="1">
      <c r="A179" s="248">
        <v>7</v>
      </c>
      <c r="B179" s="242" t="s">
        <v>1818</v>
      </c>
      <c r="C179" s="190">
        <v>10</v>
      </c>
      <c r="D179" s="190">
        <v>2</v>
      </c>
      <c r="E179" s="242">
        <v>120</v>
      </c>
      <c r="F179" s="250">
        <f>C179*D179*E179</f>
        <v>2400</v>
      </c>
      <c r="I179" s="242"/>
      <c r="J179" s="242"/>
      <c r="K179" s="190">
        <v>10</v>
      </c>
      <c r="L179" s="190">
        <v>1</v>
      </c>
      <c r="M179" s="242">
        <v>180</v>
      </c>
      <c r="N179" s="242">
        <f t="shared" si="11"/>
        <v>1800</v>
      </c>
      <c r="O179" s="264"/>
      <c r="P179" s="264"/>
      <c r="Q179" s="307">
        <f>SUM(F179,J179,N179:O179)</f>
        <v>4200</v>
      </c>
      <c r="S179" s="262"/>
      <c r="T179" s="191"/>
      <c r="U179" s="435"/>
    </row>
    <row r="180" spans="1:21" s="190" customFormat="1" ht="13.5" customHeight="1">
      <c r="A180" s="249">
        <v>6</v>
      </c>
      <c r="B180" s="250" t="s">
        <v>289</v>
      </c>
      <c r="C180" s="251">
        <v>4</v>
      </c>
      <c r="D180" s="251">
        <v>2</v>
      </c>
      <c r="E180" s="250">
        <v>1500</v>
      </c>
      <c r="F180" s="250">
        <f>C180*D180*E180</f>
        <v>12000</v>
      </c>
      <c r="G180" s="251">
        <v>4</v>
      </c>
      <c r="H180" s="251">
        <v>15</v>
      </c>
      <c r="I180" s="250">
        <v>300</v>
      </c>
      <c r="J180" s="250">
        <f aca="true" t="shared" si="12" ref="J180:J193">G180*H180*I180</f>
        <v>18000</v>
      </c>
      <c r="K180" s="251">
        <v>4</v>
      </c>
      <c r="L180" s="251">
        <v>15</v>
      </c>
      <c r="M180" s="250">
        <v>180</v>
      </c>
      <c r="N180" s="250">
        <f t="shared" si="11"/>
        <v>10800</v>
      </c>
      <c r="O180" s="242"/>
      <c r="P180" s="242"/>
      <c r="Q180" s="243">
        <f>SUM(F180,J180,N180:O181)</f>
        <v>43200</v>
      </c>
      <c r="S180" s="262"/>
      <c r="T180" s="191"/>
      <c r="U180" s="435" t="s">
        <v>318</v>
      </c>
    </row>
    <row r="181" spans="1:21" s="190" customFormat="1" ht="12">
      <c r="A181" s="326" t="s">
        <v>318</v>
      </c>
      <c r="B181" s="261" t="s">
        <v>135</v>
      </c>
      <c r="C181" s="327"/>
      <c r="D181" s="327"/>
      <c r="E181" s="261"/>
      <c r="F181" s="261">
        <f>C181*D181*E181</f>
        <v>0</v>
      </c>
      <c r="G181" s="327"/>
      <c r="H181" s="327"/>
      <c r="I181" s="261"/>
      <c r="J181" s="261">
        <f t="shared" si="12"/>
        <v>0</v>
      </c>
      <c r="K181" s="327">
        <v>4</v>
      </c>
      <c r="L181" s="327">
        <v>6</v>
      </c>
      <c r="M181" s="261">
        <v>100</v>
      </c>
      <c r="N181" s="261">
        <f t="shared" si="11"/>
        <v>2400</v>
      </c>
      <c r="O181" s="261"/>
      <c r="P181" s="261"/>
      <c r="Q181" s="261" t="s">
        <v>318</v>
      </c>
      <c r="S181" s="262"/>
      <c r="T181" s="191"/>
      <c r="U181" s="435"/>
    </row>
    <row r="182" spans="1:21" s="190" customFormat="1" ht="24" customHeight="1">
      <c r="A182" s="249">
        <v>7</v>
      </c>
      <c r="B182" s="250" t="s">
        <v>39</v>
      </c>
      <c r="C182" s="251">
        <v>5</v>
      </c>
      <c r="D182" s="251">
        <v>2</v>
      </c>
      <c r="E182" s="250">
        <v>1000</v>
      </c>
      <c r="F182" s="250">
        <f>C182*D182*E182</f>
        <v>10000</v>
      </c>
      <c r="G182" s="251">
        <v>5</v>
      </c>
      <c r="H182" s="251">
        <v>18</v>
      </c>
      <c r="I182" s="250">
        <v>100</v>
      </c>
      <c r="J182" s="250">
        <f t="shared" si="12"/>
        <v>9000</v>
      </c>
      <c r="K182" s="251">
        <v>5</v>
      </c>
      <c r="L182" s="251">
        <v>18</v>
      </c>
      <c r="M182" s="250">
        <v>180</v>
      </c>
      <c r="N182" s="250">
        <f t="shared" si="11"/>
        <v>16200</v>
      </c>
      <c r="O182" s="242">
        <v>0</v>
      </c>
      <c r="P182" s="242"/>
      <c r="Q182" s="243">
        <f>SUM(F182,J182:J183,N182:O183)</f>
        <v>45700</v>
      </c>
      <c r="S182" s="262"/>
      <c r="T182" s="191"/>
      <c r="U182" s="1945" t="s">
        <v>566</v>
      </c>
    </row>
    <row r="183" spans="1:21" s="190" customFormat="1" ht="16.5" customHeight="1">
      <c r="A183" s="248"/>
      <c r="B183" s="242" t="s">
        <v>318</v>
      </c>
      <c r="E183" s="242"/>
      <c r="F183" s="242"/>
      <c r="G183" s="190">
        <v>5</v>
      </c>
      <c r="H183" s="190">
        <v>18</v>
      </c>
      <c r="I183" s="242">
        <v>100</v>
      </c>
      <c r="J183" s="250">
        <f t="shared" si="12"/>
        <v>9000</v>
      </c>
      <c r="K183" s="190">
        <v>5</v>
      </c>
      <c r="L183" s="190">
        <v>3</v>
      </c>
      <c r="M183" s="242">
        <v>100</v>
      </c>
      <c r="N183" s="242">
        <f t="shared" si="11"/>
        <v>1500</v>
      </c>
      <c r="O183" s="238"/>
      <c r="P183" s="238"/>
      <c r="Q183" s="238"/>
      <c r="S183" s="262"/>
      <c r="T183" s="191"/>
      <c r="U183" s="1945"/>
    </row>
    <row r="184" spans="1:21" s="190" customFormat="1" ht="16.5" customHeight="1">
      <c r="A184" s="274">
        <v>8</v>
      </c>
      <c r="B184" s="265" t="s">
        <v>516</v>
      </c>
      <c r="C184" s="266">
        <v>5</v>
      </c>
      <c r="D184" s="266">
        <v>2</v>
      </c>
      <c r="E184" s="265">
        <v>1000</v>
      </c>
      <c r="F184" s="265">
        <f aca="true" t="shared" si="13" ref="F184:F191">C184*D184*E184</f>
        <v>10000</v>
      </c>
      <c r="G184" s="266">
        <v>5</v>
      </c>
      <c r="H184" s="266">
        <v>4</v>
      </c>
      <c r="I184" s="265">
        <v>150</v>
      </c>
      <c r="J184" s="265">
        <f t="shared" si="12"/>
        <v>3000</v>
      </c>
      <c r="K184" s="266">
        <v>5</v>
      </c>
      <c r="L184" s="266">
        <v>6</v>
      </c>
      <c r="M184" s="265">
        <v>180</v>
      </c>
      <c r="N184" s="265">
        <f t="shared" si="11"/>
        <v>5400</v>
      </c>
      <c r="O184" s="264"/>
      <c r="P184" s="238"/>
      <c r="Q184" s="331">
        <f aca="true" t="shared" si="14" ref="Q184:Q191">SUM(F184,J184,N184:O184)</f>
        <v>18400</v>
      </c>
      <c r="R184" s="327"/>
      <c r="S184" s="514"/>
      <c r="T184" s="968"/>
      <c r="U184" s="435" t="s">
        <v>318</v>
      </c>
    </row>
    <row r="185" spans="1:21" s="190" customFormat="1" ht="23.25" customHeight="1">
      <c r="A185" s="274">
        <v>9</v>
      </c>
      <c r="B185" s="265" t="s">
        <v>1152</v>
      </c>
      <c r="C185" s="266">
        <v>3</v>
      </c>
      <c r="D185" s="266">
        <v>2</v>
      </c>
      <c r="E185" s="265">
        <v>1500</v>
      </c>
      <c r="F185" s="265">
        <f t="shared" si="13"/>
        <v>9000</v>
      </c>
      <c r="G185" s="266">
        <v>3</v>
      </c>
      <c r="H185" s="266">
        <v>3</v>
      </c>
      <c r="I185" s="265">
        <v>550</v>
      </c>
      <c r="J185" s="265">
        <f t="shared" si="12"/>
        <v>4950</v>
      </c>
      <c r="K185" s="266">
        <v>3</v>
      </c>
      <c r="L185" s="266">
        <v>10</v>
      </c>
      <c r="M185" s="265">
        <v>100</v>
      </c>
      <c r="N185" s="265">
        <f t="shared" si="11"/>
        <v>3000</v>
      </c>
      <c r="O185" s="238"/>
      <c r="P185" s="238"/>
      <c r="Q185" s="331">
        <f t="shared" si="14"/>
        <v>16950</v>
      </c>
      <c r="R185" s="327"/>
      <c r="S185" s="514"/>
      <c r="T185" s="968"/>
      <c r="U185" s="435"/>
    </row>
    <row r="186" spans="1:21" s="190" customFormat="1" ht="21.75" customHeight="1">
      <c r="A186" s="274">
        <v>10</v>
      </c>
      <c r="B186" s="265" t="s">
        <v>1301</v>
      </c>
      <c r="C186" s="266">
        <v>5</v>
      </c>
      <c r="D186" s="266">
        <v>2</v>
      </c>
      <c r="E186" s="265">
        <v>300</v>
      </c>
      <c r="F186" s="265">
        <f t="shared" si="13"/>
        <v>3000</v>
      </c>
      <c r="G186" s="266">
        <v>5</v>
      </c>
      <c r="H186" s="266">
        <v>3</v>
      </c>
      <c r="I186" s="265">
        <v>300</v>
      </c>
      <c r="J186" s="265">
        <f t="shared" si="12"/>
        <v>4500</v>
      </c>
      <c r="K186" s="266">
        <v>5</v>
      </c>
      <c r="L186" s="266">
        <v>3</v>
      </c>
      <c r="M186" s="265">
        <v>100</v>
      </c>
      <c r="N186" s="265">
        <f t="shared" si="11"/>
        <v>1500</v>
      </c>
      <c r="O186" s="238"/>
      <c r="P186" s="238"/>
      <c r="Q186" s="331">
        <f t="shared" si="14"/>
        <v>9000</v>
      </c>
      <c r="R186" s="327"/>
      <c r="S186" s="514"/>
      <c r="T186" s="968"/>
      <c r="U186" s="435" t="s">
        <v>318</v>
      </c>
    </row>
    <row r="187" spans="1:21" s="190" customFormat="1" ht="21" customHeight="1">
      <c r="A187" s="274">
        <v>11</v>
      </c>
      <c r="B187" s="265" t="s">
        <v>1302</v>
      </c>
      <c r="C187" s="266">
        <v>3</v>
      </c>
      <c r="D187" s="266">
        <v>2</v>
      </c>
      <c r="E187" s="265">
        <v>500</v>
      </c>
      <c r="F187" s="265">
        <f t="shared" si="13"/>
        <v>3000</v>
      </c>
      <c r="G187" s="266">
        <v>3</v>
      </c>
      <c r="H187" s="266">
        <v>4</v>
      </c>
      <c r="I187" s="265">
        <v>300</v>
      </c>
      <c r="J187" s="265">
        <f t="shared" si="12"/>
        <v>3600</v>
      </c>
      <c r="K187" s="266">
        <v>3</v>
      </c>
      <c r="L187" s="266">
        <v>4</v>
      </c>
      <c r="M187" s="265">
        <v>100</v>
      </c>
      <c r="N187" s="265">
        <f t="shared" si="11"/>
        <v>1200</v>
      </c>
      <c r="O187" s="238"/>
      <c r="P187" s="238"/>
      <c r="Q187" s="331">
        <f t="shared" si="14"/>
        <v>7800</v>
      </c>
      <c r="R187" s="327"/>
      <c r="S187" s="514"/>
      <c r="T187" s="968"/>
      <c r="U187" s="435" t="s">
        <v>318</v>
      </c>
    </row>
    <row r="188" spans="1:21" s="190" customFormat="1" ht="21" customHeight="1">
      <c r="A188" s="274">
        <v>12</v>
      </c>
      <c r="B188" s="265" t="s">
        <v>1303</v>
      </c>
      <c r="C188" s="266">
        <v>3</v>
      </c>
      <c r="D188" s="266">
        <v>2</v>
      </c>
      <c r="E188" s="265">
        <v>500</v>
      </c>
      <c r="F188" s="265">
        <f t="shared" si="13"/>
        <v>3000</v>
      </c>
      <c r="G188" s="266">
        <v>3</v>
      </c>
      <c r="H188" s="266">
        <v>4</v>
      </c>
      <c r="I188" s="265">
        <v>300</v>
      </c>
      <c r="J188" s="265">
        <f t="shared" si="12"/>
        <v>3600</v>
      </c>
      <c r="K188" s="266">
        <v>3</v>
      </c>
      <c r="L188" s="266">
        <v>4</v>
      </c>
      <c r="M188" s="265">
        <v>100</v>
      </c>
      <c r="N188" s="265">
        <f t="shared" si="11"/>
        <v>1200</v>
      </c>
      <c r="O188" s="238"/>
      <c r="P188" s="238"/>
      <c r="Q188" s="331">
        <f t="shared" si="14"/>
        <v>7800</v>
      </c>
      <c r="R188" s="327"/>
      <c r="S188" s="514"/>
      <c r="T188" s="969"/>
      <c r="U188" s="435" t="s">
        <v>318</v>
      </c>
    </row>
    <row r="189" spans="1:21" s="190" customFormat="1" ht="26.25" customHeight="1">
      <c r="A189" s="326">
        <v>13</v>
      </c>
      <c r="B189" s="261" t="s">
        <v>280</v>
      </c>
      <c r="C189" s="327">
        <v>3</v>
      </c>
      <c r="D189" s="327">
        <v>2</v>
      </c>
      <c r="E189" s="261">
        <v>200</v>
      </c>
      <c r="F189" s="261">
        <f t="shared" si="13"/>
        <v>1200</v>
      </c>
      <c r="G189" s="327">
        <v>3</v>
      </c>
      <c r="H189" s="327">
        <v>2</v>
      </c>
      <c r="I189" s="261">
        <v>300</v>
      </c>
      <c r="J189" s="261">
        <f t="shared" si="12"/>
        <v>1800</v>
      </c>
      <c r="K189" s="327">
        <v>3</v>
      </c>
      <c r="L189" s="327">
        <v>2</v>
      </c>
      <c r="M189" s="261">
        <v>100</v>
      </c>
      <c r="N189" s="261">
        <f t="shared" si="11"/>
        <v>600</v>
      </c>
      <c r="O189" s="238"/>
      <c r="P189" s="238"/>
      <c r="Q189" s="331">
        <f t="shared" si="14"/>
        <v>3600</v>
      </c>
      <c r="R189" s="327"/>
      <c r="S189" s="514"/>
      <c r="T189" s="968"/>
      <c r="U189" s="435" t="s">
        <v>318</v>
      </c>
    </row>
    <row r="190" spans="1:21" s="190" customFormat="1" ht="24">
      <c r="A190" s="249">
        <v>14</v>
      </c>
      <c r="B190" s="242" t="s">
        <v>342</v>
      </c>
      <c r="C190" s="190">
        <v>7</v>
      </c>
      <c r="D190" s="190">
        <v>2</v>
      </c>
      <c r="E190" s="242">
        <v>200</v>
      </c>
      <c r="F190" s="242">
        <f t="shared" si="13"/>
        <v>2800</v>
      </c>
      <c r="G190" s="190">
        <v>7</v>
      </c>
      <c r="H190" s="190">
        <v>3</v>
      </c>
      <c r="I190" s="242">
        <v>250</v>
      </c>
      <c r="J190" s="242">
        <f t="shared" si="12"/>
        <v>5250</v>
      </c>
      <c r="K190" s="190">
        <v>7</v>
      </c>
      <c r="L190" s="190">
        <v>2</v>
      </c>
      <c r="M190" s="242">
        <v>100</v>
      </c>
      <c r="N190" s="242">
        <f t="shared" si="11"/>
        <v>1400</v>
      </c>
      <c r="O190" s="238"/>
      <c r="P190" s="238"/>
      <c r="Q190" s="331">
        <f t="shared" si="14"/>
        <v>9450</v>
      </c>
      <c r="S190" s="262"/>
      <c r="T190" s="968"/>
      <c r="U190" s="435" t="s">
        <v>318</v>
      </c>
    </row>
    <row r="191" spans="1:21" s="190" customFormat="1" ht="15.75" customHeight="1">
      <c r="A191" s="249">
        <v>15</v>
      </c>
      <c r="B191" s="250" t="s">
        <v>921</v>
      </c>
      <c r="C191" s="251">
        <v>5</v>
      </c>
      <c r="D191" s="251">
        <v>4</v>
      </c>
      <c r="E191" s="250">
        <v>10</v>
      </c>
      <c r="F191" s="242">
        <f t="shared" si="13"/>
        <v>200</v>
      </c>
      <c r="G191" s="251"/>
      <c r="H191" s="251"/>
      <c r="I191" s="250"/>
      <c r="J191" s="250">
        <f t="shared" si="12"/>
        <v>0</v>
      </c>
      <c r="K191" s="251">
        <v>5</v>
      </c>
      <c r="L191" s="251">
        <v>3</v>
      </c>
      <c r="M191" s="250">
        <v>180</v>
      </c>
      <c r="N191" s="250">
        <f t="shared" si="11"/>
        <v>2700</v>
      </c>
      <c r="O191" s="238"/>
      <c r="P191" s="238"/>
      <c r="Q191" s="331">
        <f t="shared" si="14"/>
        <v>2900</v>
      </c>
      <c r="S191" s="262"/>
      <c r="T191" s="191"/>
      <c r="U191" s="435"/>
    </row>
    <row r="192" spans="1:23" s="189" customFormat="1" ht="15" customHeight="1">
      <c r="A192" s="249">
        <v>16</v>
      </c>
      <c r="B192" s="250" t="s">
        <v>1716</v>
      </c>
      <c r="C192" s="251" t="s">
        <v>318</v>
      </c>
      <c r="D192" s="251">
        <v>0</v>
      </c>
      <c r="E192" s="251">
        <v>0</v>
      </c>
      <c r="F192" s="252"/>
      <c r="G192" s="251"/>
      <c r="H192" s="251"/>
      <c r="I192" s="251"/>
      <c r="J192" s="252">
        <f t="shared" si="12"/>
        <v>0</v>
      </c>
      <c r="K192" s="251"/>
      <c r="L192" s="251"/>
      <c r="M192" s="251"/>
      <c r="N192" s="252">
        <f t="shared" si="11"/>
        <v>0</v>
      </c>
      <c r="O192" s="238"/>
      <c r="P192" s="238">
        <v>3900</v>
      </c>
      <c r="Q192" s="331">
        <f>P192</f>
        <v>3900</v>
      </c>
      <c r="R192" s="190"/>
      <c r="S192" s="262"/>
      <c r="T192" s="191" t="s">
        <v>541</v>
      </c>
      <c r="U192" s="435" t="s">
        <v>1153</v>
      </c>
      <c r="V192" s="190"/>
      <c r="W192" s="190"/>
    </row>
    <row r="193" spans="1:21" s="190" customFormat="1" ht="15.75" customHeight="1">
      <c r="A193" s="249">
        <v>17</v>
      </c>
      <c r="B193" s="250" t="s">
        <v>290</v>
      </c>
      <c r="C193" s="251">
        <v>3</v>
      </c>
      <c r="D193" s="251">
        <v>2</v>
      </c>
      <c r="E193" s="250">
        <v>600</v>
      </c>
      <c r="F193" s="250">
        <f>C193*D193*E193</f>
        <v>3600</v>
      </c>
      <c r="G193" s="251">
        <v>3</v>
      </c>
      <c r="H193" s="251">
        <v>15</v>
      </c>
      <c r="I193" s="250">
        <v>350</v>
      </c>
      <c r="J193" s="250">
        <f t="shared" si="12"/>
        <v>15750</v>
      </c>
      <c r="K193" s="251">
        <v>3</v>
      </c>
      <c r="L193" s="251">
        <v>15</v>
      </c>
      <c r="M193" s="250">
        <v>180</v>
      </c>
      <c r="N193" s="250">
        <f t="shared" si="11"/>
        <v>8100</v>
      </c>
      <c r="O193" s="242"/>
      <c r="P193" s="242"/>
      <c r="Q193" s="243">
        <f>SUM(F193,J193,N193:O194)</f>
        <v>28050</v>
      </c>
      <c r="S193" s="262"/>
      <c r="T193" s="191"/>
      <c r="U193" s="435" t="s">
        <v>318</v>
      </c>
    </row>
    <row r="194" spans="1:21" s="190" customFormat="1" ht="12.75" thickBot="1">
      <c r="A194" s="248"/>
      <c r="B194" s="242" t="s">
        <v>737</v>
      </c>
      <c r="E194" s="242"/>
      <c r="F194" s="242"/>
      <c r="I194" s="242"/>
      <c r="J194" s="242"/>
      <c r="K194" s="190">
        <v>3</v>
      </c>
      <c r="L194" s="190">
        <v>2</v>
      </c>
      <c r="M194" s="242">
        <v>100</v>
      </c>
      <c r="N194" s="242">
        <f t="shared" si="11"/>
        <v>600</v>
      </c>
      <c r="O194" s="238"/>
      <c r="P194" s="238"/>
      <c r="Q194" s="331"/>
      <c r="S194" s="262"/>
      <c r="T194" s="191"/>
      <c r="U194" s="435" t="s">
        <v>318</v>
      </c>
    </row>
    <row r="195" spans="1:22" s="783" customFormat="1" ht="12.75" customHeight="1" thickBot="1">
      <c r="A195" s="775"/>
      <c r="B195" s="777" t="s">
        <v>1783</v>
      </c>
      <c r="C195" s="776"/>
      <c r="D195" s="776"/>
      <c r="E195" s="777"/>
      <c r="F195" s="778">
        <f>SUM(F168:F194)</f>
        <v>73600</v>
      </c>
      <c r="G195" s="778"/>
      <c r="H195" s="778"/>
      <c r="I195" s="778"/>
      <c r="J195" s="778">
        <f>SUM(J168:J194)</f>
        <v>94070</v>
      </c>
      <c r="K195" s="778"/>
      <c r="L195" s="778"/>
      <c r="M195" s="778"/>
      <c r="N195" s="778">
        <f>SUM(N168:N194)</f>
        <v>71860</v>
      </c>
      <c r="O195" s="778">
        <f>SUM(O168:O194)</f>
        <v>0</v>
      </c>
      <c r="P195" s="778">
        <f>SUM(P168:P194)</f>
        <v>3900</v>
      </c>
      <c r="Q195" s="778">
        <f>SUM(Q168:Q194)</f>
        <v>243430</v>
      </c>
      <c r="R195" s="776"/>
      <c r="S195" s="786"/>
      <c r="T195" s="759"/>
      <c r="U195" s="824" t="s">
        <v>318</v>
      </c>
      <c r="V195" s="822">
        <f>SUM(F195:P195)</f>
        <v>243430</v>
      </c>
    </row>
    <row r="196" spans="1:21" s="190" customFormat="1" ht="12">
      <c r="A196" s="248"/>
      <c r="B196" s="977" t="s">
        <v>141</v>
      </c>
      <c r="E196" s="242"/>
      <c r="F196" s="242"/>
      <c r="I196" s="242"/>
      <c r="J196" s="242"/>
      <c r="M196" s="242"/>
      <c r="N196" s="242"/>
      <c r="O196" s="242"/>
      <c r="P196" s="242"/>
      <c r="Q196" s="242"/>
      <c r="S196" s="262"/>
      <c r="T196" s="191"/>
      <c r="U196" s="435"/>
    </row>
    <row r="197" spans="1:21" s="190" customFormat="1" ht="16.5" customHeight="1">
      <c r="A197" s="248">
        <v>1</v>
      </c>
      <c r="B197" s="242" t="s">
        <v>686</v>
      </c>
      <c r="C197" s="190">
        <v>3</v>
      </c>
      <c r="D197" s="190">
        <v>2</v>
      </c>
      <c r="E197" s="242">
        <v>230</v>
      </c>
      <c r="F197" s="236">
        <f>C197*D197*E197</f>
        <v>1380</v>
      </c>
      <c r="G197" s="190">
        <v>3</v>
      </c>
      <c r="H197" s="190">
        <v>2</v>
      </c>
      <c r="I197" s="242">
        <v>300</v>
      </c>
      <c r="J197" s="236">
        <f>G197*H197*I197</f>
        <v>1800</v>
      </c>
      <c r="K197" s="190">
        <v>3</v>
      </c>
      <c r="L197" s="190">
        <v>2</v>
      </c>
      <c r="M197" s="242">
        <v>180</v>
      </c>
      <c r="N197" s="236">
        <f aca="true" t="shared" si="15" ref="N197:N212">K197*L197*M197</f>
        <v>1080</v>
      </c>
      <c r="O197" s="236"/>
      <c r="P197" s="236"/>
      <c r="Q197" s="243">
        <f>SUM(F197,J197,N197:N198)</f>
        <v>4560</v>
      </c>
      <c r="T197" s="191"/>
      <c r="U197" s="435"/>
    </row>
    <row r="198" spans="1:23" s="189" customFormat="1" ht="12.75" customHeight="1">
      <c r="A198" s="326" t="s">
        <v>318</v>
      </c>
      <c r="B198" s="261" t="s">
        <v>1212</v>
      </c>
      <c r="C198" s="327"/>
      <c r="D198" s="327"/>
      <c r="E198" s="261"/>
      <c r="F198" s="261">
        <f>C198*D198*E198</f>
        <v>0</v>
      </c>
      <c r="G198" s="327"/>
      <c r="H198" s="327"/>
      <c r="I198" s="261"/>
      <c r="J198" s="261"/>
      <c r="K198" s="327">
        <v>3</v>
      </c>
      <c r="L198" s="327">
        <v>1</v>
      </c>
      <c r="M198" s="261">
        <v>100</v>
      </c>
      <c r="N198" s="261">
        <f t="shared" si="15"/>
        <v>300</v>
      </c>
      <c r="O198" s="261"/>
      <c r="P198" s="261"/>
      <c r="Q198" s="261" t="s">
        <v>318</v>
      </c>
      <c r="R198" s="327"/>
      <c r="S198" s="514"/>
      <c r="T198" s="191"/>
      <c r="U198" s="435" t="s">
        <v>318</v>
      </c>
      <c r="V198" s="190"/>
      <c r="W198" s="190"/>
    </row>
    <row r="199" spans="1:21" s="190" customFormat="1" ht="12">
      <c r="A199" s="248">
        <v>2</v>
      </c>
      <c r="B199" s="242" t="s">
        <v>1715</v>
      </c>
      <c r="C199" s="190">
        <v>3</v>
      </c>
      <c r="D199" s="190">
        <v>2</v>
      </c>
      <c r="E199" s="242">
        <v>900</v>
      </c>
      <c r="F199" s="242">
        <f>C199*D199*E199</f>
        <v>5400</v>
      </c>
      <c r="G199" s="190">
        <v>3</v>
      </c>
      <c r="H199" s="190">
        <v>3</v>
      </c>
      <c r="I199" s="190">
        <v>200</v>
      </c>
      <c r="J199" s="236">
        <f>G199*H199*I199</f>
        <v>1800</v>
      </c>
      <c r="K199" s="190">
        <v>3</v>
      </c>
      <c r="L199" s="190">
        <v>3</v>
      </c>
      <c r="M199" s="190">
        <v>150</v>
      </c>
      <c r="N199" s="236">
        <f t="shared" si="15"/>
        <v>1350</v>
      </c>
      <c r="O199" s="236"/>
      <c r="P199" s="236"/>
      <c r="Q199" s="243">
        <f>SUM(F199,J199,N199:N200)</f>
        <v>9750</v>
      </c>
      <c r="S199" s="262"/>
      <c r="T199" s="191"/>
      <c r="U199" s="435" t="s">
        <v>318</v>
      </c>
    </row>
    <row r="200" spans="1:21" s="190" customFormat="1" ht="12">
      <c r="A200" s="326"/>
      <c r="B200" s="261" t="s">
        <v>194</v>
      </c>
      <c r="C200" s="327"/>
      <c r="D200" s="327"/>
      <c r="E200" s="261"/>
      <c r="F200" s="261"/>
      <c r="G200" s="327"/>
      <c r="H200" s="327"/>
      <c r="I200" s="261"/>
      <c r="J200" s="261"/>
      <c r="K200" s="327">
        <v>3</v>
      </c>
      <c r="L200" s="327">
        <v>4</v>
      </c>
      <c r="M200" s="327">
        <v>100</v>
      </c>
      <c r="N200" s="238">
        <f t="shared" si="15"/>
        <v>1200</v>
      </c>
      <c r="O200" s="261"/>
      <c r="P200" s="261"/>
      <c r="Q200" s="261"/>
      <c r="S200" s="262"/>
      <c r="T200" s="191"/>
      <c r="U200" s="435"/>
    </row>
    <row r="201" spans="1:21" s="190" customFormat="1" ht="17.25" customHeight="1">
      <c r="A201" s="249">
        <v>3</v>
      </c>
      <c r="B201" s="250" t="s">
        <v>268</v>
      </c>
      <c r="C201" s="251">
        <v>3</v>
      </c>
      <c r="D201" s="251">
        <v>2</v>
      </c>
      <c r="E201" s="250">
        <v>200</v>
      </c>
      <c r="F201" s="250">
        <f>C201*D201*E201</f>
        <v>1200</v>
      </c>
      <c r="G201" s="251">
        <v>3</v>
      </c>
      <c r="H201" s="251">
        <v>3</v>
      </c>
      <c r="I201" s="250">
        <v>300</v>
      </c>
      <c r="J201" s="250">
        <f>G201*H201*I201</f>
        <v>2700</v>
      </c>
      <c r="K201" s="251">
        <v>3</v>
      </c>
      <c r="L201" s="251">
        <v>3</v>
      </c>
      <c r="M201" s="250">
        <v>180</v>
      </c>
      <c r="N201" s="250">
        <f t="shared" si="15"/>
        <v>1620</v>
      </c>
      <c r="O201" s="242"/>
      <c r="P201" s="242"/>
      <c r="Q201" s="243">
        <f>SUM(F201,J201,N201:N202)</f>
        <v>5820</v>
      </c>
      <c r="S201" s="262"/>
      <c r="T201" s="191"/>
      <c r="U201" s="435"/>
    </row>
    <row r="202" spans="1:23" s="189" customFormat="1" ht="12.75" customHeight="1">
      <c r="A202" s="326" t="s">
        <v>318</v>
      </c>
      <c r="B202" s="261" t="s">
        <v>1212</v>
      </c>
      <c r="C202" s="327"/>
      <c r="D202" s="327"/>
      <c r="E202" s="261"/>
      <c r="F202" s="261">
        <f>C202*D202*E202</f>
        <v>0</v>
      </c>
      <c r="G202" s="327"/>
      <c r="H202" s="327"/>
      <c r="I202" s="261"/>
      <c r="J202" s="261"/>
      <c r="K202" s="327">
        <v>3</v>
      </c>
      <c r="L202" s="327">
        <v>1</v>
      </c>
      <c r="M202" s="261">
        <v>100</v>
      </c>
      <c r="N202" s="261">
        <f t="shared" si="15"/>
        <v>300</v>
      </c>
      <c r="O202" s="261"/>
      <c r="P202" s="261"/>
      <c r="Q202" s="261" t="s">
        <v>318</v>
      </c>
      <c r="R202" s="327"/>
      <c r="S202" s="514"/>
      <c r="T202" s="191"/>
      <c r="U202" s="435" t="s">
        <v>318</v>
      </c>
      <c r="V202" s="190"/>
      <c r="W202" s="190"/>
    </row>
    <row r="203" spans="1:23" s="189" customFormat="1" ht="24">
      <c r="A203" s="274">
        <v>4</v>
      </c>
      <c r="B203" s="250" t="s">
        <v>1057</v>
      </c>
      <c r="C203" s="190" t="s">
        <v>318</v>
      </c>
      <c r="D203" s="251">
        <v>0</v>
      </c>
      <c r="E203" s="250">
        <v>0</v>
      </c>
      <c r="F203" s="261">
        <f>D203*E203</f>
        <v>0</v>
      </c>
      <c r="G203" s="251"/>
      <c r="H203" s="251"/>
      <c r="I203" s="250"/>
      <c r="J203" s="250">
        <f aca="true" t="shared" si="16" ref="J203:J208">G203*H203*I203</f>
        <v>0</v>
      </c>
      <c r="K203" s="251"/>
      <c r="L203" s="251"/>
      <c r="M203" s="250"/>
      <c r="N203" s="250">
        <f t="shared" si="15"/>
        <v>0</v>
      </c>
      <c r="O203" s="264"/>
      <c r="P203" s="264">
        <v>3600</v>
      </c>
      <c r="Q203" s="307">
        <f>P203</f>
        <v>3600</v>
      </c>
      <c r="R203" s="190"/>
      <c r="S203" s="262"/>
      <c r="T203" s="191"/>
      <c r="U203" s="435" t="s">
        <v>195</v>
      </c>
      <c r="V203" s="190"/>
      <c r="W203" s="190"/>
    </row>
    <row r="204" spans="1:21" s="190" customFormat="1" ht="12.75" customHeight="1">
      <c r="A204" s="249">
        <v>5</v>
      </c>
      <c r="B204" s="250" t="s">
        <v>1717</v>
      </c>
      <c r="C204" s="251">
        <v>4</v>
      </c>
      <c r="D204" s="251">
        <v>2</v>
      </c>
      <c r="E204" s="250">
        <v>1000</v>
      </c>
      <c r="F204" s="250">
        <f>C204*D204*E204</f>
        <v>8000</v>
      </c>
      <c r="G204" s="251">
        <v>4</v>
      </c>
      <c r="H204" s="251">
        <v>4</v>
      </c>
      <c r="I204" s="250">
        <v>300</v>
      </c>
      <c r="J204" s="250">
        <f t="shared" si="16"/>
        <v>4800</v>
      </c>
      <c r="K204" s="251">
        <v>4</v>
      </c>
      <c r="L204" s="251">
        <v>4</v>
      </c>
      <c r="M204" s="250">
        <v>180</v>
      </c>
      <c r="N204" s="250">
        <f t="shared" si="15"/>
        <v>2880</v>
      </c>
      <c r="O204" s="242"/>
      <c r="P204" s="242"/>
      <c r="Q204" s="243">
        <f>SUM(F204:F205,J204:J205,N204:N205)</f>
        <v>16880</v>
      </c>
      <c r="S204" s="262"/>
      <c r="T204" s="191"/>
      <c r="U204" s="435" t="s">
        <v>318</v>
      </c>
    </row>
    <row r="205" spans="1:21" s="190" customFormat="1" ht="12">
      <c r="A205" s="326" t="s">
        <v>318</v>
      </c>
      <c r="B205" s="261" t="s">
        <v>1264</v>
      </c>
      <c r="C205" s="327"/>
      <c r="D205" s="327"/>
      <c r="E205" s="261"/>
      <c r="F205" s="261">
        <f>C205*D205*E205</f>
        <v>0</v>
      </c>
      <c r="G205" s="327"/>
      <c r="H205" s="327"/>
      <c r="I205" s="261"/>
      <c r="J205" s="261">
        <f t="shared" si="16"/>
        <v>0</v>
      </c>
      <c r="K205" s="327">
        <v>4</v>
      </c>
      <c r="L205" s="327">
        <v>3</v>
      </c>
      <c r="M205" s="261">
        <v>100</v>
      </c>
      <c r="N205" s="261">
        <f t="shared" si="15"/>
        <v>1200</v>
      </c>
      <c r="O205" s="261"/>
      <c r="P205" s="261"/>
      <c r="Q205" s="261" t="s">
        <v>318</v>
      </c>
      <c r="S205" s="262"/>
      <c r="T205" s="191"/>
      <c r="U205" s="435"/>
    </row>
    <row r="206" spans="1:21" s="190" customFormat="1" ht="15" customHeight="1">
      <c r="A206" s="249">
        <v>6</v>
      </c>
      <c r="B206" s="250" t="s">
        <v>1718</v>
      </c>
      <c r="C206" s="251">
        <v>3</v>
      </c>
      <c r="D206" s="251">
        <v>2</v>
      </c>
      <c r="E206" s="250">
        <v>250</v>
      </c>
      <c r="F206" s="250">
        <f>C206*D206*E206</f>
        <v>1500</v>
      </c>
      <c r="G206" s="251">
        <v>3</v>
      </c>
      <c r="H206" s="251">
        <v>15</v>
      </c>
      <c r="I206" s="250">
        <v>250</v>
      </c>
      <c r="J206" s="250">
        <f t="shared" si="16"/>
        <v>11250</v>
      </c>
      <c r="K206" s="251">
        <v>3</v>
      </c>
      <c r="L206" s="251">
        <v>16</v>
      </c>
      <c r="M206" s="250">
        <v>180</v>
      </c>
      <c r="N206" s="250">
        <f t="shared" si="15"/>
        <v>8640</v>
      </c>
      <c r="O206" s="242"/>
      <c r="P206" s="242"/>
      <c r="Q206" s="243">
        <f>SUM(F206:F207,J206:J207,N206:N207)</f>
        <v>21690</v>
      </c>
      <c r="S206" s="262"/>
      <c r="T206" s="191"/>
      <c r="U206" s="435" t="s">
        <v>318</v>
      </c>
    </row>
    <row r="207" spans="1:21" s="190" customFormat="1" ht="12">
      <c r="A207" s="326" t="s">
        <v>318</v>
      </c>
      <c r="B207" s="261" t="s">
        <v>1219</v>
      </c>
      <c r="C207" s="327"/>
      <c r="D207" s="327"/>
      <c r="E207" s="261"/>
      <c r="F207" s="261">
        <f>C207*D207*E207</f>
        <v>0</v>
      </c>
      <c r="G207" s="327"/>
      <c r="H207" s="327"/>
      <c r="I207" s="261"/>
      <c r="J207" s="261">
        <f t="shared" si="16"/>
        <v>0</v>
      </c>
      <c r="K207" s="327">
        <v>3</v>
      </c>
      <c r="L207" s="327">
        <v>1</v>
      </c>
      <c r="M207" s="261">
        <v>100</v>
      </c>
      <c r="N207" s="261">
        <f t="shared" si="15"/>
        <v>300</v>
      </c>
      <c r="O207" s="261"/>
      <c r="P207" s="261"/>
      <c r="Q207" s="261" t="s">
        <v>318</v>
      </c>
      <c r="R207" s="327"/>
      <c r="S207" s="514"/>
      <c r="T207" s="263"/>
      <c r="U207" s="435"/>
    </row>
    <row r="208" spans="1:21" s="190" customFormat="1" ht="15" customHeight="1">
      <c r="A208" s="248">
        <v>7</v>
      </c>
      <c r="B208" s="242" t="s">
        <v>1370</v>
      </c>
      <c r="C208" s="190">
        <v>4</v>
      </c>
      <c r="D208" s="190">
        <v>2</v>
      </c>
      <c r="E208" s="242">
        <v>420</v>
      </c>
      <c r="F208" s="242">
        <f>C208*D208*E208</f>
        <v>3360</v>
      </c>
      <c r="G208" s="190">
        <v>4</v>
      </c>
      <c r="H208" s="190">
        <v>3</v>
      </c>
      <c r="I208" s="242">
        <v>200</v>
      </c>
      <c r="J208" s="242">
        <f t="shared" si="16"/>
        <v>2400</v>
      </c>
      <c r="K208" s="190">
        <v>4</v>
      </c>
      <c r="L208" s="190">
        <v>3</v>
      </c>
      <c r="M208" s="242">
        <v>180</v>
      </c>
      <c r="N208" s="242">
        <f t="shared" si="15"/>
        <v>2160</v>
      </c>
      <c r="O208" s="242"/>
      <c r="P208" s="242"/>
      <c r="Q208" s="243">
        <f>SUM(F208:F209,J208:J209,N208:N209)</f>
        <v>8720</v>
      </c>
      <c r="S208" s="262"/>
      <c r="T208" s="191"/>
      <c r="U208" s="435"/>
    </row>
    <row r="209" spans="1:21" s="190" customFormat="1" ht="12">
      <c r="A209" s="326"/>
      <c r="B209" s="261" t="s">
        <v>1211</v>
      </c>
      <c r="C209" s="327"/>
      <c r="D209" s="327"/>
      <c r="E209" s="261"/>
      <c r="F209" s="261"/>
      <c r="G209" s="327"/>
      <c r="H209" s="327"/>
      <c r="I209" s="261"/>
      <c r="J209" s="261"/>
      <c r="K209" s="327">
        <v>4</v>
      </c>
      <c r="L209" s="327">
        <v>2</v>
      </c>
      <c r="M209" s="261">
        <v>100</v>
      </c>
      <c r="N209" s="261">
        <f t="shared" si="15"/>
        <v>800</v>
      </c>
      <c r="O209" s="261"/>
      <c r="P209" s="261"/>
      <c r="Q209" s="261"/>
      <c r="S209" s="262"/>
      <c r="T209" s="191"/>
      <c r="U209" s="435"/>
    </row>
    <row r="210" spans="1:21" s="190" customFormat="1" ht="15" customHeight="1">
      <c r="A210" s="249">
        <v>8</v>
      </c>
      <c r="B210" s="251" t="s">
        <v>1719</v>
      </c>
      <c r="C210" s="258">
        <v>8</v>
      </c>
      <c r="D210" s="251">
        <v>2</v>
      </c>
      <c r="E210" s="251">
        <v>300</v>
      </c>
      <c r="F210" s="252">
        <f>C210*D210*E210</f>
        <v>4800</v>
      </c>
      <c r="G210" s="251">
        <v>8</v>
      </c>
      <c r="H210" s="251">
        <v>4</v>
      </c>
      <c r="I210" s="251">
        <v>300</v>
      </c>
      <c r="J210" s="252">
        <f>G210*H210*I210</f>
        <v>9600</v>
      </c>
      <c r="K210" s="251">
        <v>8</v>
      </c>
      <c r="L210" s="251">
        <v>4</v>
      </c>
      <c r="M210" s="251">
        <v>180</v>
      </c>
      <c r="N210" s="252">
        <f t="shared" si="15"/>
        <v>5760</v>
      </c>
      <c r="O210" s="236">
        <v>900</v>
      </c>
      <c r="P210" s="236"/>
      <c r="Q210" s="243">
        <f>SUM(F210:F211,J210:J211,N210:O211)</f>
        <v>21860</v>
      </c>
      <c r="S210" s="262"/>
      <c r="T210" s="191" t="s">
        <v>541</v>
      </c>
      <c r="U210" s="435" t="s">
        <v>196</v>
      </c>
    </row>
    <row r="211" spans="1:21" s="190" customFormat="1" ht="12">
      <c r="A211" s="326"/>
      <c r="B211" s="327" t="s">
        <v>1207</v>
      </c>
      <c r="C211" s="514"/>
      <c r="D211" s="327"/>
      <c r="E211" s="327"/>
      <c r="F211" s="238"/>
      <c r="G211" s="327"/>
      <c r="H211" s="327"/>
      <c r="I211" s="327"/>
      <c r="J211" s="238"/>
      <c r="K211" s="327">
        <v>8</v>
      </c>
      <c r="L211" s="327">
        <v>1</v>
      </c>
      <c r="M211" s="327">
        <v>100</v>
      </c>
      <c r="N211" s="238">
        <f t="shared" si="15"/>
        <v>800</v>
      </c>
      <c r="O211" s="238"/>
      <c r="P211" s="238"/>
      <c r="Q211" s="238"/>
      <c r="S211" s="262"/>
      <c r="T211" s="263"/>
      <c r="U211" s="435"/>
    </row>
    <row r="212" spans="1:21" s="190" customFormat="1" ht="15.75" customHeight="1" thickBot="1">
      <c r="A212" s="248">
        <v>9</v>
      </c>
      <c r="B212" s="242" t="s">
        <v>197</v>
      </c>
      <c r="C212" s="190">
        <v>10</v>
      </c>
      <c r="D212" s="190">
        <v>2</v>
      </c>
      <c r="E212" s="242">
        <v>200</v>
      </c>
      <c r="F212" s="242">
        <f>C212*D212*E212</f>
        <v>4000</v>
      </c>
      <c r="G212" s="190">
        <v>10</v>
      </c>
      <c r="H212" s="190">
        <v>3</v>
      </c>
      <c r="I212" s="242">
        <v>250</v>
      </c>
      <c r="J212" s="242">
        <f>G212*H212*I212</f>
        <v>7500</v>
      </c>
      <c r="K212" s="190">
        <v>10</v>
      </c>
      <c r="L212" s="190">
        <v>3</v>
      </c>
      <c r="M212" s="242">
        <v>180</v>
      </c>
      <c r="N212" s="242">
        <f t="shared" si="15"/>
        <v>5400</v>
      </c>
      <c r="O212" s="242"/>
      <c r="P212" s="242"/>
      <c r="Q212" s="243">
        <f>SUM(F212,J212,N212)</f>
        <v>16900</v>
      </c>
      <c r="S212" s="262"/>
      <c r="T212" s="191"/>
      <c r="U212" s="435"/>
    </row>
    <row r="213" spans="1:22" s="783" customFormat="1" ht="14.25" customHeight="1" thickBot="1">
      <c r="A213" s="775"/>
      <c r="B213" s="777" t="s">
        <v>1783</v>
      </c>
      <c r="C213" s="776"/>
      <c r="D213" s="776"/>
      <c r="E213" s="777"/>
      <c r="F213" s="777">
        <f>SUM(F197:F212)</f>
        <v>29640</v>
      </c>
      <c r="G213" s="786" t="s">
        <v>318</v>
      </c>
      <c r="H213" s="776" t="s">
        <v>318</v>
      </c>
      <c r="I213" s="777" t="s">
        <v>318</v>
      </c>
      <c r="J213" s="777">
        <f>SUM(J197:J212)</f>
        <v>41850</v>
      </c>
      <c r="K213" s="786" t="s">
        <v>318</v>
      </c>
      <c r="L213" s="776" t="s">
        <v>318</v>
      </c>
      <c r="M213" s="777" t="s">
        <v>318</v>
      </c>
      <c r="N213" s="777">
        <f>SUM(N197:N212)</f>
        <v>33790</v>
      </c>
      <c r="O213" s="777">
        <f>SUM(O197:O212)</f>
        <v>900</v>
      </c>
      <c r="P213" s="777">
        <f>SUM(P197:P212)</f>
        <v>3600</v>
      </c>
      <c r="Q213" s="759">
        <f>SUM(Q196:Q212)</f>
        <v>109780</v>
      </c>
      <c r="R213" s="774"/>
      <c r="S213" s="786"/>
      <c r="T213" s="759"/>
      <c r="U213" s="824"/>
      <c r="V213" s="822">
        <f>SUM(F213:P213)</f>
        <v>109780</v>
      </c>
    </row>
    <row r="214" s="190" customFormat="1" ht="9" customHeight="1" thickBot="1">
      <c r="U214" s="435"/>
    </row>
    <row r="215" spans="1:22" s="792" customFormat="1" ht="12.75" customHeight="1" thickBot="1">
      <c r="A215" s="787"/>
      <c r="B215" s="788" t="s">
        <v>1216</v>
      </c>
      <c r="C215" s="788"/>
      <c r="D215" s="788"/>
      <c r="E215" s="761"/>
      <c r="F215" s="790">
        <f>SUM(F26,F67,F90,F106,F118,F131,F149,F167,F195,F213,F45,F39)</f>
        <v>938129</v>
      </c>
      <c r="G215" s="787"/>
      <c r="H215" s="788"/>
      <c r="I215" s="789"/>
      <c r="J215" s="788">
        <f>SUM(J26,J67,J90,J106,J118,J131,J149,J167,J195,J213,J45,J39)</f>
        <v>652821</v>
      </c>
      <c r="K215" s="787"/>
      <c r="L215" s="788"/>
      <c r="M215" s="789"/>
      <c r="N215" s="826">
        <f>SUM(N26,N67,N90,N106,N118,N131,N149,N167,N195,N213,N45,N39)</f>
        <v>472714</v>
      </c>
      <c r="O215" s="790">
        <f>SUM(O26,O67,O90,O106,O118,O131,O149,O167,O195,O213,O45,O39)</f>
        <v>50900</v>
      </c>
      <c r="P215" s="790">
        <f>SUM(P26,P67,P90,P106,P118,P131,P149,P167,P195,P213,P45,P39)</f>
        <v>38500</v>
      </c>
      <c r="Q215" s="826">
        <f>ROUNDUP(SUM(Q26,Q67,Q90,Q106,Q118,Q131,Q149,Q167,Q195,Q213,Q45,Q39),0)</f>
        <v>2153064</v>
      </c>
      <c r="R215" s="791"/>
      <c r="S215" s="790"/>
      <c r="T215" s="761"/>
      <c r="U215" s="827" t="s">
        <v>318</v>
      </c>
      <c r="V215" s="822">
        <f>SUM(F215:P215)</f>
        <v>2153064</v>
      </c>
    </row>
    <row r="216" spans="21:23" s="189" customFormat="1" ht="9.75" customHeight="1">
      <c r="U216" s="435"/>
      <c r="V216" s="190"/>
      <c r="W216" s="190"/>
    </row>
    <row r="217" spans="1:23" s="189" customFormat="1" ht="12">
      <c r="A217" s="338" t="s">
        <v>914</v>
      </c>
      <c r="B217" s="189" t="s">
        <v>1461</v>
      </c>
      <c r="U217" s="435"/>
      <c r="V217" s="190"/>
      <c r="W217" s="190"/>
    </row>
    <row r="218" spans="2:23" s="189" customFormat="1" ht="12.75">
      <c r="B218" s="268"/>
      <c r="U218" s="435"/>
      <c r="V218" s="190"/>
      <c r="W218" s="190"/>
    </row>
    <row r="219" spans="21:23" s="268" customFormat="1" ht="12.75">
      <c r="U219" s="435"/>
      <c r="V219" s="665"/>
      <c r="W219" s="665"/>
    </row>
    <row r="220" spans="21:23" s="268" customFormat="1" ht="12.75">
      <c r="U220" s="435"/>
      <c r="V220" s="665"/>
      <c r="W220" s="665"/>
    </row>
    <row r="221" spans="21:23" s="268" customFormat="1" ht="12.75">
      <c r="U221" s="435"/>
      <c r="V221" s="665"/>
      <c r="W221" s="665"/>
    </row>
    <row r="222" spans="21:23" s="268" customFormat="1" ht="12.75">
      <c r="U222" s="435"/>
      <c r="V222" s="665"/>
      <c r="W222" s="665"/>
    </row>
    <row r="223" spans="21:23" s="268" customFormat="1" ht="12.75">
      <c r="U223" s="435"/>
      <c r="V223" s="665"/>
      <c r="W223" s="665"/>
    </row>
    <row r="224" spans="21:23" s="268" customFormat="1" ht="12.75">
      <c r="U224" s="435"/>
      <c r="V224" s="665"/>
      <c r="W224" s="665"/>
    </row>
    <row r="225" spans="21:23" s="268" customFormat="1" ht="12.75">
      <c r="U225" s="435"/>
      <c r="V225" s="665"/>
      <c r="W225" s="665"/>
    </row>
    <row r="226" spans="21:23" s="268" customFormat="1" ht="12.75">
      <c r="U226" s="435"/>
      <c r="V226" s="665"/>
      <c r="W226" s="665"/>
    </row>
    <row r="227" spans="21:23" s="268" customFormat="1" ht="12.75">
      <c r="U227" s="435"/>
      <c r="V227" s="665"/>
      <c r="W227" s="665"/>
    </row>
    <row r="228" spans="21:23" s="268" customFormat="1" ht="12.75">
      <c r="U228" s="435"/>
      <c r="V228" s="665"/>
      <c r="W228" s="665"/>
    </row>
    <row r="229" spans="21:23" s="268" customFormat="1" ht="12.75">
      <c r="U229" s="435"/>
      <c r="V229" s="665"/>
      <c r="W229" s="665"/>
    </row>
    <row r="230" spans="21:23" s="268" customFormat="1" ht="12.75">
      <c r="U230" s="435"/>
      <c r="V230" s="665"/>
      <c r="W230" s="665"/>
    </row>
    <row r="231" spans="21:23" s="268" customFormat="1" ht="12.75">
      <c r="U231" s="435"/>
      <c r="V231" s="665"/>
      <c r="W231" s="665"/>
    </row>
    <row r="232" spans="21:23" s="268" customFormat="1" ht="12.75">
      <c r="U232" s="435"/>
      <c r="V232" s="665"/>
      <c r="W232" s="665"/>
    </row>
    <row r="233" spans="21:23" s="268" customFormat="1" ht="12.75">
      <c r="U233" s="435"/>
      <c r="V233" s="665"/>
      <c r="W233" s="665"/>
    </row>
    <row r="234" spans="21:23" s="268" customFormat="1" ht="12.75">
      <c r="U234" s="435"/>
      <c r="V234" s="665"/>
      <c r="W234" s="665"/>
    </row>
    <row r="235" spans="21:23" s="268" customFormat="1" ht="12.75">
      <c r="U235" s="435"/>
      <c r="V235" s="665"/>
      <c r="W235" s="665"/>
    </row>
    <row r="236" spans="21:23" s="268" customFormat="1" ht="12.75">
      <c r="U236" s="435"/>
      <c r="V236" s="665"/>
      <c r="W236" s="665"/>
    </row>
    <row r="237" spans="21:23" s="268" customFormat="1" ht="12.75">
      <c r="U237" s="435"/>
      <c r="V237" s="665"/>
      <c r="W237" s="665"/>
    </row>
    <row r="238" spans="21:23" s="268" customFormat="1" ht="12.75">
      <c r="U238" s="435"/>
      <c r="V238" s="665"/>
      <c r="W238" s="665"/>
    </row>
    <row r="239" spans="21:23" s="268" customFormat="1" ht="12.75">
      <c r="U239" s="435"/>
      <c r="V239" s="665"/>
      <c r="W239" s="665"/>
    </row>
    <row r="240" spans="21:23" s="268" customFormat="1" ht="12.75">
      <c r="U240" s="435"/>
      <c r="V240" s="665"/>
      <c r="W240" s="665"/>
    </row>
    <row r="241" spans="21:23" s="268" customFormat="1" ht="12.75">
      <c r="U241" s="435"/>
      <c r="V241" s="665"/>
      <c r="W241" s="665"/>
    </row>
    <row r="242" spans="21:23" s="268" customFormat="1" ht="12.75">
      <c r="U242" s="435"/>
      <c r="V242" s="665"/>
      <c r="W242" s="665"/>
    </row>
    <row r="243" spans="21:23" s="268" customFormat="1" ht="12.75">
      <c r="U243" s="435"/>
      <c r="V243" s="665"/>
      <c r="W243" s="665"/>
    </row>
    <row r="244" spans="21:23" s="268" customFormat="1" ht="12.75">
      <c r="U244" s="435"/>
      <c r="V244" s="665"/>
      <c r="W244" s="665"/>
    </row>
    <row r="245" spans="21:23" s="268" customFormat="1" ht="12.75">
      <c r="U245" s="435"/>
      <c r="V245" s="665"/>
      <c r="W245" s="665"/>
    </row>
    <row r="246" spans="21:23" s="268" customFormat="1" ht="12.75">
      <c r="U246" s="435"/>
      <c r="V246" s="665"/>
      <c r="W246" s="665"/>
    </row>
    <row r="247" spans="21:23" s="268" customFormat="1" ht="12.75">
      <c r="U247" s="435"/>
      <c r="V247" s="665"/>
      <c r="W247" s="665"/>
    </row>
    <row r="248" spans="21:23" s="268" customFormat="1" ht="12.75">
      <c r="U248" s="435"/>
      <c r="V248" s="665"/>
      <c r="W248" s="665"/>
    </row>
    <row r="249" spans="21:23" s="268" customFormat="1" ht="12.75">
      <c r="U249" s="435"/>
      <c r="V249" s="665"/>
      <c r="W249" s="665"/>
    </row>
    <row r="250" spans="21:23" s="268" customFormat="1" ht="12.75">
      <c r="U250" s="435"/>
      <c r="V250" s="665"/>
      <c r="W250" s="665"/>
    </row>
    <row r="251" spans="21:23" s="268" customFormat="1" ht="12.75">
      <c r="U251" s="435"/>
      <c r="V251" s="665"/>
      <c r="W251" s="665"/>
    </row>
    <row r="252" spans="21:23" s="268" customFormat="1" ht="12.75">
      <c r="U252" s="435"/>
      <c r="V252" s="665"/>
      <c r="W252" s="665"/>
    </row>
    <row r="253" spans="21:23" s="268" customFormat="1" ht="12.75">
      <c r="U253" s="435"/>
      <c r="V253" s="665"/>
      <c r="W253" s="665"/>
    </row>
    <row r="254" spans="21:23" s="268" customFormat="1" ht="12.75">
      <c r="U254" s="435"/>
      <c r="V254" s="665"/>
      <c r="W254" s="665"/>
    </row>
    <row r="255" spans="21:23" s="268" customFormat="1" ht="12.75">
      <c r="U255" s="435"/>
      <c r="V255" s="665"/>
      <c r="W255" s="665"/>
    </row>
    <row r="256" spans="21:23" s="268" customFormat="1" ht="12.75">
      <c r="U256" s="435"/>
      <c r="V256" s="665"/>
      <c r="W256" s="665"/>
    </row>
    <row r="257" spans="21:23" s="268" customFormat="1" ht="12.75">
      <c r="U257" s="435"/>
      <c r="V257" s="665"/>
      <c r="W257" s="665"/>
    </row>
    <row r="258" spans="21:23" s="268" customFormat="1" ht="12.75">
      <c r="U258" s="435"/>
      <c r="V258" s="665"/>
      <c r="W258" s="665"/>
    </row>
    <row r="259" spans="21:23" s="268" customFormat="1" ht="12.75">
      <c r="U259" s="435"/>
      <c r="V259" s="665"/>
      <c r="W259" s="665"/>
    </row>
    <row r="260" spans="21:23" s="268" customFormat="1" ht="12.75">
      <c r="U260" s="435"/>
      <c r="V260" s="665"/>
      <c r="W260" s="665"/>
    </row>
    <row r="261" spans="21:23" s="268" customFormat="1" ht="12.75">
      <c r="U261" s="435"/>
      <c r="V261" s="665"/>
      <c r="W261" s="665"/>
    </row>
    <row r="262" spans="21:23" s="268" customFormat="1" ht="12.75">
      <c r="U262" s="435"/>
      <c r="V262" s="665"/>
      <c r="W262" s="665"/>
    </row>
    <row r="263" spans="21:23" s="268" customFormat="1" ht="12.75">
      <c r="U263" s="435"/>
      <c r="V263" s="665"/>
      <c r="W263" s="665"/>
    </row>
    <row r="264" spans="21:23" s="268" customFormat="1" ht="12.75">
      <c r="U264" s="435"/>
      <c r="V264" s="665"/>
      <c r="W264" s="665"/>
    </row>
    <row r="265" spans="21:23" s="268" customFormat="1" ht="12.75">
      <c r="U265" s="435"/>
      <c r="V265" s="665"/>
      <c r="W265" s="665"/>
    </row>
    <row r="266" spans="21:23" s="268" customFormat="1" ht="12.75">
      <c r="U266" s="435"/>
      <c r="V266" s="665"/>
      <c r="W266" s="665"/>
    </row>
    <row r="267" spans="21:23" s="268" customFormat="1" ht="12.75">
      <c r="U267" s="435"/>
      <c r="V267" s="665"/>
      <c r="W267" s="665"/>
    </row>
    <row r="268" spans="21:23" s="268" customFormat="1" ht="12.75">
      <c r="U268" s="435"/>
      <c r="V268" s="665"/>
      <c r="W268" s="665"/>
    </row>
    <row r="269" spans="21:23" s="268" customFormat="1" ht="12.75">
      <c r="U269" s="435"/>
      <c r="V269" s="665"/>
      <c r="W269" s="665"/>
    </row>
    <row r="270" spans="21:23" s="268" customFormat="1" ht="12.75">
      <c r="U270" s="435"/>
      <c r="V270" s="665"/>
      <c r="W270" s="665"/>
    </row>
    <row r="271" spans="21:23" s="268" customFormat="1" ht="12.75">
      <c r="U271" s="435"/>
      <c r="V271" s="665"/>
      <c r="W271" s="665"/>
    </row>
    <row r="272" spans="21:23" s="268" customFormat="1" ht="12.75">
      <c r="U272" s="435"/>
      <c r="V272" s="665"/>
      <c r="W272" s="665"/>
    </row>
    <row r="273" spans="21:23" s="268" customFormat="1" ht="12.75">
      <c r="U273" s="435"/>
      <c r="V273" s="665"/>
      <c r="W273" s="665"/>
    </row>
    <row r="274" spans="2:23" s="268" customFormat="1" ht="12.75">
      <c r="B274" s="39"/>
      <c r="U274" s="435"/>
      <c r="V274" s="665"/>
      <c r="W274" s="665"/>
    </row>
  </sheetData>
  <mergeCells count="27">
    <mergeCell ref="A1:T2"/>
    <mergeCell ref="A3:T4"/>
    <mergeCell ref="C6:O6"/>
    <mergeCell ref="K7:N7"/>
    <mergeCell ref="B7:B8"/>
    <mergeCell ref="A7:A8"/>
    <mergeCell ref="C7:F7"/>
    <mergeCell ref="G7:J7"/>
    <mergeCell ref="Q14:Q15"/>
    <mergeCell ref="Q18:Q19"/>
    <mergeCell ref="U173:U174"/>
    <mergeCell ref="U182:U183"/>
    <mergeCell ref="U126:U127"/>
    <mergeCell ref="C150:C151"/>
    <mergeCell ref="A136:A137"/>
    <mergeCell ref="B47:B48"/>
    <mergeCell ref="B56:B57"/>
    <mergeCell ref="B77:B78"/>
    <mergeCell ref="B81:B82"/>
    <mergeCell ref="B98:B99"/>
    <mergeCell ref="B100:B101"/>
    <mergeCell ref="B104:B105"/>
    <mergeCell ref="A92:A93"/>
    <mergeCell ref="B92:B93"/>
    <mergeCell ref="B136:B137"/>
    <mergeCell ref="B161:B162"/>
    <mergeCell ref="B154:B155"/>
  </mergeCells>
  <printOptions/>
  <pageMargins left="0.7874015748031497" right="0.1968503937007874" top="0.7874015748031497" bottom="0" header="0" footer="0"/>
  <pageSetup firstPageNumber="86" useFirstPageNumber="1" horizontalDpi="120" verticalDpi="120" orientation="landscape" paperSize="9" scale="81" r:id="rId1"/>
  <rowBreaks count="6" manualBreakCount="6">
    <brk id="39" max="20" man="1"/>
    <brk id="67" max="20" man="1"/>
    <brk id="106" max="20" man="1"/>
    <brk id="135" max="20" man="1"/>
    <brk id="167" max="20" man="1"/>
    <brk id="195" max="20" man="1"/>
  </rowBreaks>
  <colBreaks count="2" manualBreakCount="2">
    <brk id="21" max="325" man="1"/>
    <brk id="2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7"/>
  <dimension ref="A1:L30"/>
  <sheetViews>
    <sheetView view="pageBreakPreview" zoomScale="75" zoomScaleSheetLayoutView="75" workbookViewId="0" topLeftCell="A1">
      <selection activeCell="F16" sqref="F16"/>
    </sheetView>
  </sheetViews>
  <sheetFormatPr defaultColWidth="9.00390625" defaultRowHeight="12.75"/>
  <cols>
    <col min="1" max="1" width="3.875" style="0" customWidth="1"/>
    <col min="2" max="2" width="53.00390625" style="0" customWidth="1"/>
    <col min="3" max="3" width="7.875" style="0" customWidth="1"/>
    <col min="5" max="5" width="9.00390625" style="0" customWidth="1"/>
    <col min="6" max="6" width="11.875" style="0" customWidth="1"/>
    <col min="7" max="7" width="13.125" style="0" customWidth="1"/>
    <col min="9" max="9" width="10.75390625" style="0" customWidth="1"/>
    <col min="10" max="10" width="27.625" style="0" customWidth="1"/>
    <col min="11" max="11" width="18.375" style="0" customWidth="1"/>
    <col min="12" max="12" width="9.75390625" style="0" bestFit="1" customWidth="1"/>
  </cols>
  <sheetData>
    <row r="1" ht="15">
      <c r="B1" s="15" t="s">
        <v>517</v>
      </c>
    </row>
    <row r="2" spans="2:7" ht="15.75" thickBot="1">
      <c r="B2" s="15"/>
      <c r="G2" s="1" t="s">
        <v>1684</v>
      </c>
    </row>
    <row r="3" spans="1:7" ht="12.75">
      <c r="A3" s="729"/>
      <c r="B3" s="729"/>
      <c r="C3" s="1952" t="s">
        <v>1034</v>
      </c>
      <c r="D3" s="1953"/>
      <c r="E3" s="1954"/>
      <c r="F3" s="754"/>
      <c r="G3" s="729"/>
    </row>
    <row r="4" spans="1:7" s="31" customFormat="1" ht="12.75" thickBot="1">
      <c r="A4" s="1865" t="s">
        <v>316</v>
      </c>
      <c r="B4" s="1865" t="s">
        <v>317</v>
      </c>
      <c r="C4" s="1854" t="s">
        <v>212</v>
      </c>
      <c r="D4" s="1855"/>
      <c r="E4" s="1856"/>
      <c r="F4" s="755" t="s">
        <v>265</v>
      </c>
      <c r="G4" s="296" t="s">
        <v>1415</v>
      </c>
    </row>
    <row r="5" spans="1:7" s="31" customFormat="1" ht="12.75" thickBot="1">
      <c r="A5" s="1866"/>
      <c r="B5" s="1866"/>
      <c r="C5" s="116" t="s">
        <v>776</v>
      </c>
      <c r="D5" s="291" t="s">
        <v>785</v>
      </c>
      <c r="E5" s="158" t="s">
        <v>778</v>
      </c>
      <c r="F5" s="357" t="s">
        <v>1364</v>
      </c>
      <c r="G5" s="156"/>
    </row>
    <row r="6" spans="1:7" s="31" customFormat="1" ht="12.75" customHeight="1">
      <c r="A6" s="117"/>
      <c r="B6" s="119" t="s">
        <v>1785</v>
      </c>
      <c r="C6" s="28"/>
      <c r="D6" s="66"/>
      <c r="E6" s="66"/>
      <c r="F6" s="91"/>
      <c r="G6" s="118"/>
    </row>
    <row r="7" spans="1:7" s="139" customFormat="1" ht="13.5" customHeight="1" thickBot="1">
      <c r="A7" s="120">
        <v>1</v>
      </c>
      <c r="B7" s="121" t="s">
        <v>462</v>
      </c>
      <c r="C7" s="106">
        <v>5</v>
      </c>
      <c r="D7" s="121">
        <v>1500</v>
      </c>
      <c r="E7" s="121">
        <f>C7*D7</f>
        <v>7500</v>
      </c>
      <c r="F7" s="127">
        <f>SUM(E7)</f>
        <v>7500</v>
      </c>
      <c r="G7" s="118" t="s">
        <v>541</v>
      </c>
    </row>
    <row r="8" spans="1:12" s="64" customFormat="1" ht="12.75" customHeight="1" thickBot="1">
      <c r="A8" s="146"/>
      <c r="B8" s="46" t="s">
        <v>1783</v>
      </c>
      <c r="C8" s="47"/>
      <c r="D8" s="46"/>
      <c r="E8" s="49">
        <f>SUM(E6:E7)</f>
        <v>7500</v>
      </c>
      <c r="F8" s="49">
        <f>SUM(F6:F7)</f>
        <v>7500</v>
      </c>
      <c r="G8" s="50"/>
      <c r="H8" s="64" t="s">
        <v>318</v>
      </c>
      <c r="L8" s="344">
        <f>SUM(E8:E8)</f>
        <v>7500</v>
      </c>
    </row>
    <row r="9" spans="1:7" s="31" customFormat="1" ht="12">
      <c r="A9" s="117"/>
      <c r="B9" s="119" t="s">
        <v>1262</v>
      </c>
      <c r="C9" s="28"/>
      <c r="D9" s="66"/>
      <c r="E9" s="66"/>
      <c r="F9" s="59"/>
      <c r="G9" s="118"/>
    </row>
    <row r="10" spans="1:8" s="31" customFormat="1" ht="12">
      <c r="A10" s="229">
        <v>1</v>
      </c>
      <c r="B10" s="60" t="s">
        <v>518</v>
      </c>
      <c r="C10" s="69">
        <v>3</v>
      </c>
      <c r="D10" s="58">
        <v>150</v>
      </c>
      <c r="E10" s="60">
        <f>C10*D10</f>
        <v>450</v>
      </c>
      <c r="F10" s="60">
        <f>E10</f>
        <v>450</v>
      </c>
      <c r="G10" s="118"/>
      <c r="H10" s="31" t="s">
        <v>318</v>
      </c>
    </row>
    <row r="11" spans="1:7" s="31" customFormat="1" ht="12">
      <c r="A11" s="229">
        <v>2</v>
      </c>
      <c r="B11" s="60" t="s">
        <v>519</v>
      </c>
      <c r="C11" s="69">
        <v>3</v>
      </c>
      <c r="D11" s="58">
        <v>220</v>
      </c>
      <c r="E11" s="60">
        <f>C11*D11</f>
        <v>660</v>
      </c>
      <c r="F11" s="58">
        <f>E11</f>
        <v>660</v>
      </c>
      <c r="G11" s="118"/>
    </row>
    <row r="12" spans="1:8" s="31" customFormat="1" ht="12">
      <c r="A12" s="227">
        <v>3</v>
      </c>
      <c r="B12" s="61" t="s">
        <v>520</v>
      </c>
      <c r="C12" s="76">
        <v>3</v>
      </c>
      <c r="D12" s="56">
        <v>300</v>
      </c>
      <c r="E12" s="61">
        <f>C12*D12</f>
        <v>900</v>
      </c>
      <c r="F12" s="56">
        <f>E12</f>
        <v>900</v>
      </c>
      <c r="G12" s="118" t="s">
        <v>541</v>
      </c>
      <c r="H12" s="31" t="s">
        <v>318</v>
      </c>
    </row>
    <row r="13" spans="1:8" s="31" customFormat="1" ht="12.75" thickBot="1">
      <c r="A13" s="117">
        <v>4</v>
      </c>
      <c r="B13" s="66" t="s">
        <v>117</v>
      </c>
      <c r="C13" s="28">
        <v>3</v>
      </c>
      <c r="D13" s="66">
        <v>100</v>
      </c>
      <c r="E13" s="59">
        <f>C13*D13</f>
        <v>300</v>
      </c>
      <c r="F13" s="66">
        <f>E13</f>
        <v>300</v>
      </c>
      <c r="G13" s="118"/>
      <c r="H13" s="31" t="s">
        <v>318</v>
      </c>
    </row>
    <row r="14" spans="1:12" s="64" customFormat="1" ht="12.75" customHeight="1" thickBot="1">
      <c r="A14" s="146"/>
      <c r="B14" s="46" t="s">
        <v>1783</v>
      </c>
      <c r="C14" s="47"/>
      <c r="D14" s="46"/>
      <c r="E14" s="89">
        <f>SUM(E10:E13)</f>
        <v>2310</v>
      </c>
      <c r="F14" s="89">
        <f>SUM(F10:F13)</f>
        <v>2310</v>
      </c>
      <c r="G14" s="50"/>
      <c r="H14" s="64" t="s">
        <v>318</v>
      </c>
      <c r="L14" s="344">
        <f>SUM(E14:E14)</f>
        <v>2310</v>
      </c>
    </row>
    <row r="15" s="28" customFormat="1" ht="12.75" thickBot="1"/>
    <row r="16" spans="1:12" s="175" customFormat="1" ht="14.25" customHeight="1" thickBot="1">
      <c r="A16" s="150"/>
      <c r="B16" s="109" t="s">
        <v>1216</v>
      </c>
      <c r="C16" s="109"/>
      <c r="D16" s="110"/>
      <c r="E16" s="176">
        <f>E14*12+E8</f>
        <v>35220</v>
      </c>
      <c r="F16" s="176">
        <f>F14*12+F8</f>
        <v>35220</v>
      </c>
      <c r="G16" s="151"/>
      <c r="H16" s="322" t="s">
        <v>318</v>
      </c>
      <c r="L16" s="175" t="e">
        <f>E16+#REF!+#REF!+#REF!</f>
        <v>#REF!</v>
      </c>
    </row>
    <row r="17" s="31" customFormat="1" ht="12"/>
    <row r="18" s="31" customFormat="1" ht="12">
      <c r="B18" s="31" t="s">
        <v>882</v>
      </c>
    </row>
    <row r="19" s="31" customFormat="1" ht="12">
      <c r="B19" s="31" t="s">
        <v>846</v>
      </c>
    </row>
    <row r="20" s="31" customFormat="1" ht="12">
      <c r="B20" s="31" t="s">
        <v>845</v>
      </c>
    </row>
    <row r="21" s="31" customFormat="1" ht="12">
      <c r="B21" s="31" t="s">
        <v>847</v>
      </c>
    </row>
    <row r="22" s="31" customFormat="1" ht="12">
      <c r="B22" s="31" t="s">
        <v>766</v>
      </c>
    </row>
    <row r="23" s="31" customFormat="1" ht="12">
      <c r="B23" s="31" t="s">
        <v>767</v>
      </c>
    </row>
    <row r="24" s="31" customFormat="1" ht="12">
      <c r="B24" s="31" t="s">
        <v>768</v>
      </c>
    </row>
    <row r="25" s="31" customFormat="1" ht="12">
      <c r="B25" s="31" t="s">
        <v>848</v>
      </c>
    </row>
    <row r="26" s="31" customFormat="1" ht="12">
      <c r="B26" s="31" t="s">
        <v>849</v>
      </c>
    </row>
    <row r="27" s="31" customFormat="1" ht="12">
      <c r="B27" s="310" t="s">
        <v>850</v>
      </c>
    </row>
    <row r="28" s="31" customFormat="1" ht="12"/>
    <row r="29" s="31" customFormat="1" ht="12">
      <c r="A29" s="31" t="s">
        <v>1462</v>
      </c>
    </row>
    <row r="30" ht="12.75">
      <c r="B30" t="s">
        <v>318</v>
      </c>
    </row>
  </sheetData>
  <mergeCells count="4">
    <mergeCell ref="A4:A5"/>
    <mergeCell ref="B4:B5"/>
    <mergeCell ref="C4:E4"/>
    <mergeCell ref="C3:E3"/>
  </mergeCells>
  <printOptions/>
  <pageMargins left="0.984251968503937" right="0.3937007874015748" top="0.984251968503937" bottom="0.5905511811023623" header="0.9055118110236221" footer="0"/>
  <pageSetup firstPageNumber="98" useFirstPageNumber="1" horizontalDpi="600" verticalDpi="600" orientation="landscape" paperSize="9" r:id="rId1"/>
  <headerFooter alignWithMargins="0">
    <oddHeader>&amp;C
</oddHead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N19"/>
  <sheetViews>
    <sheetView view="pageBreakPreview" zoomScale="75" zoomScaleSheetLayoutView="75" workbookViewId="0" topLeftCell="A1">
      <selection activeCell="H18" sqref="H18"/>
    </sheetView>
  </sheetViews>
  <sheetFormatPr defaultColWidth="9.00390625" defaultRowHeight="12.75"/>
  <cols>
    <col min="1" max="1" width="5.00390625" style="681" customWidth="1"/>
    <col min="2" max="2" width="63.375" style="4" customWidth="1"/>
    <col min="3" max="3" width="7.375" style="4" customWidth="1"/>
    <col min="4" max="4" width="9.125" style="4" customWidth="1"/>
    <col min="5" max="5" width="7.375" style="4" customWidth="1"/>
    <col min="6" max="6" width="7.625" style="4" customWidth="1"/>
    <col min="7" max="7" width="9.875" style="4" customWidth="1"/>
    <col min="8" max="8" width="11.75390625" style="4" customWidth="1"/>
    <col min="9" max="9" width="10.00390625" style="4" customWidth="1"/>
    <col min="10" max="16384" width="9.125" style="4" customWidth="1"/>
  </cols>
  <sheetData>
    <row r="1" s="7" customFormat="1" ht="15.75">
      <c r="A1" s="16" t="s">
        <v>1704</v>
      </c>
    </row>
    <row r="2" spans="2:7" s="7" customFormat="1" ht="19.5" customHeight="1">
      <c r="B2" s="359" t="s">
        <v>1533</v>
      </c>
      <c r="C2" s="359"/>
      <c r="D2" s="359"/>
      <c r="E2" s="359"/>
      <c r="F2" s="359"/>
      <c r="G2" s="359"/>
    </row>
    <row r="3" spans="2:9" s="7" customFormat="1" ht="15" customHeight="1" thickBot="1">
      <c r="B3" s="359"/>
      <c r="C3" s="359"/>
      <c r="D3" s="359"/>
      <c r="E3" s="359"/>
      <c r="F3" s="359"/>
      <c r="G3" s="359"/>
      <c r="I3" s="112" t="s">
        <v>118</v>
      </c>
    </row>
    <row r="4" spans="1:9" s="31" customFormat="1" ht="12.75" thickBot="1">
      <c r="A4" s="793"/>
      <c r="B4" s="293"/>
      <c r="C4" s="736"/>
      <c r="D4" s="1912" t="s">
        <v>1042</v>
      </c>
      <c r="E4" s="1913"/>
      <c r="F4" s="1914"/>
      <c r="G4" s="828" t="s">
        <v>1041</v>
      </c>
      <c r="H4" s="801" t="s">
        <v>265</v>
      </c>
      <c r="I4" s="157" t="s">
        <v>1415</v>
      </c>
    </row>
    <row r="5" spans="1:9" s="162" customFormat="1" ht="24.75" customHeight="1" thickBot="1">
      <c r="A5" s="1955" t="s">
        <v>316</v>
      </c>
      <c r="B5" s="1865" t="s">
        <v>317</v>
      </c>
      <c r="C5" s="686" t="s">
        <v>1752</v>
      </c>
      <c r="D5" s="823" t="s">
        <v>1594</v>
      </c>
      <c r="E5" s="823" t="s">
        <v>491</v>
      </c>
      <c r="F5" s="829" t="s">
        <v>489</v>
      </c>
      <c r="G5" s="823" t="s">
        <v>490</v>
      </c>
      <c r="H5" s="366" t="s">
        <v>119</v>
      </c>
      <c r="I5" s="366"/>
    </row>
    <row r="6" spans="1:9" s="162" customFormat="1" ht="13.5" customHeight="1" thickBot="1">
      <c r="A6" s="1956"/>
      <c r="B6" s="1866"/>
      <c r="C6" s="1128" t="s">
        <v>1753</v>
      </c>
      <c r="D6" s="830"/>
      <c r="E6" s="831"/>
      <c r="F6" s="831"/>
      <c r="G6" s="832"/>
      <c r="H6" s="1668"/>
      <c r="I6" s="1671"/>
    </row>
    <row r="7" spans="1:9" ht="12.75" customHeight="1">
      <c r="A7" s="349"/>
      <c r="B7" s="119" t="s">
        <v>528</v>
      </c>
      <c r="C7" s="119"/>
      <c r="D7" s="58" t="s">
        <v>318</v>
      </c>
      <c r="E7" s="58" t="s">
        <v>318</v>
      </c>
      <c r="F7" s="58" t="s">
        <v>318</v>
      </c>
      <c r="G7" s="58" t="s">
        <v>318</v>
      </c>
      <c r="H7" s="69" t="s">
        <v>318</v>
      </c>
      <c r="I7" s="1957" t="s">
        <v>541</v>
      </c>
    </row>
    <row r="8" spans="1:9" ht="20.25" customHeight="1">
      <c r="A8" s="350">
        <v>1</v>
      </c>
      <c r="B8" s="58" t="s">
        <v>488</v>
      </c>
      <c r="C8" s="61">
        <v>23200</v>
      </c>
      <c r="D8" s="77">
        <f>C8*1.28/12</f>
        <v>2475</v>
      </c>
      <c r="E8" s="61">
        <v>0</v>
      </c>
      <c r="F8" s="61">
        <v>0</v>
      </c>
      <c r="G8" s="61">
        <v>283</v>
      </c>
      <c r="H8" s="1669">
        <f>SUM(D8:G8)</f>
        <v>2758</v>
      </c>
      <c r="I8" s="1826"/>
    </row>
    <row r="9" spans="1:9" ht="20.25" customHeight="1" thickBot="1">
      <c r="A9" s="349" t="s">
        <v>1276</v>
      </c>
      <c r="B9" s="797" t="s">
        <v>1748</v>
      </c>
      <c r="C9" s="61">
        <v>2600</v>
      </c>
      <c r="D9" s="77">
        <f>C9*1.28/12</f>
        <v>277</v>
      </c>
      <c r="E9" s="61">
        <v>300</v>
      </c>
      <c r="F9" s="61">
        <v>700</v>
      </c>
      <c r="G9" s="61">
        <v>135.7</v>
      </c>
      <c r="H9" s="1669">
        <f>SUM(D9:G9)</f>
        <v>1412.7</v>
      </c>
      <c r="I9" s="1826"/>
    </row>
    <row r="10" spans="1:9" ht="20.25" customHeight="1" thickBot="1">
      <c r="A10" s="349" t="s">
        <v>630</v>
      </c>
      <c r="B10" s="797" t="s">
        <v>1751</v>
      </c>
      <c r="C10" s="61">
        <v>5000</v>
      </c>
      <c r="D10" s="77">
        <f>C10*1.28/12</f>
        <v>533</v>
      </c>
      <c r="E10" s="61">
        <v>0</v>
      </c>
      <c r="F10" s="61">
        <v>0</v>
      </c>
      <c r="G10" s="61">
        <v>0</v>
      </c>
      <c r="H10" s="1669">
        <f>SUM(D10:G10)</f>
        <v>533</v>
      </c>
      <c r="I10" s="1826"/>
    </row>
    <row r="11" spans="1:9" ht="20.25" customHeight="1" thickBot="1">
      <c r="A11" s="349" t="s">
        <v>1277</v>
      </c>
      <c r="B11" s="797" t="s">
        <v>1750</v>
      </c>
      <c r="C11" s="61">
        <v>2100</v>
      </c>
      <c r="D11" s="77">
        <f>C11*1.28/12</f>
        <v>224</v>
      </c>
      <c r="E11" s="61">
        <v>0</v>
      </c>
      <c r="F11" s="61">
        <v>0</v>
      </c>
      <c r="G11" s="61">
        <v>0</v>
      </c>
      <c r="H11" s="1669">
        <f>SUM(D11:G11)</f>
        <v>224</v>
      </c>
      <c r="I11" s="1826"/>
    </row>
    <row r="12" spans="1:9" ht="23.25" customHeight="1" thickBot="1">
      <c r="A12" s="349" t="s">
        <v>1278</v>
      </c>
      <c r="B12" s="68" t="s">
        <v>1749</v>
      </c>
      <c r="C12" s="66">
        <v>400</v>
      </c>
      <c r="D12" s="74">
        <f>C12*1.28/12</f>
        <v>43</v>
      </c>
      <c r="E12" s="66">
        <v>0</v>
      </c>
      <c r="F12" s="66">
        <v>0</v>
      </c>
      <c r="G12" s="66">
        <v>814.5</v>
      </c>
      <c r="H12" s="486">
        <f>SUM(D12:G12)</f>
        <v>857.5</v>
      </c>
      <c r="I12" s="1826"/>
    </row>
    <row r="13" spans="1:9" s="770" customFormat="1" ht="15.75" customHeight="1" thickBot="1">
      <c r="A13" s="794"/>
      <c r="B13" s="1673"/>
      <c r="C13" s="1673"/>
      <c r="D13" s="707"/>
      <c r="E13" s="707"/>
      <c r="F13" s="707"/>
      <c r="G13" s="707"/>
      <c r="H13" s="1674"/>
      <c r="I13" s="1675"/>
    </row>
    <row r="14" spans="1:9" s="800" customFormat="1" ht="13.5" thickBot="1">
      <c r="A14" s="978"/>
      <c r="B14" s="798" t="s">
        <v>1783</v>
      </c>
      <c r="C14" s="799"/>
      <c r="D14" s="799">
        <f>SUM(D8:D13)</f>
        <v>3552</v>
      </c>
      <c r="E14" s="799">
        <f>SUM(E8:E13)</f>
        <v>300</v>
      </c>
      <c r="F14" s="799">
        <f>SUM(F8:F13)</f>
        <v>700</v>
      </c>
      <c r="G14" s="799">
        <f>SUM(G8:G13)</f>
        <v>1233.2</v>
      </c>
      <c r="H14" s="1670">
        <f>SUM(H8:H12)</f>
        <v>5785.2</v>
      </c>
      <c r="I14" s="1672"/>
    </row>
    <row r="15" spans="1:9" ht="13.5" thickBot="1">
      <c r="A15" s="358"/>
      <c r="B15" s="707"/>
      <c r="C15" s="795"/>
      <c r="D15" s="332"/>
      <c r="E15" s="332"/>
      <c r="F15" s="332"/>
      <c r="G15" s="332"/>
      <c r="H15" s="966"/>
      <c r="I15" s="332"/>
    </row>
    <row r="16" spans="1:14" s="11" customFormat="1" ht="15.75" customHeight="1" thickBot="1">
      <c r="A16" s="796" t="s">
        <v>318</v>
      </c>
      <c r="B16" s="109" t="s">
        <v>485</v>
      </c>
      <c r="C16" s="109">
        <f>SUM(C8:C15)</f>
        <v>33300</v>
      </c>
      <c r="D16" s="833">
        <f>D14*12</f>
        <v>42624</v>
      </c>
      <c r="E16" s="833">
        <f>E14*12</f>
        <v>3600</v>
      </c>
      <c r="F16" s="833">
        <f>F14*12</f>
        <v>8400</v>
      </c>
      <c r="G16" s="833">
        <f>G14*12</f>
        <v>14798.4</v>
      </c>
      <c r="H16" s="1320">
        <f>H14*12</f>
        <v>69422</v>
      </c>
      <c r="I16" s="1676"/>
      <c r="N16" s="11">
        <v>100096</v>
      </c>
    </row>
    <row r="17" spans="1:9" ht="12.75">
      <c r="A17" s="358"/>
      <c r="B17" s="31"/>
      <c r="C17" s="31"/>
      <c r="D17" s="360"/>
      <c r="E17" s="360"/>
      <c r="F17" s="360"/>
      <c r="G17" s="360"/>
      <c r="H17" s="31"/>
      <c r="I17" s="31"/>
    </row>
    <row r="18" spans="1:13" s="139" customFormat="1" ht="12">
      <c r="A18" s="139" t="s">
        <v>1727</v>
      </c>
      <c r="M18" s="898"/>
    </row>
    <row r="19" spans="1:3" ht="12.75">
      <c r="A19" s="358"/>
      <c r="B19" s="31" t="s">
        <v>190</v>
      </c>
      <c r="C19" s="31"/>
    </row>
  </sheetData>
  <mergeCells count="4">
    <mergeCell ref="A5:A6"/>
    <mergeCell ref="B5:B6"/>
    <mergeCell ref="D4:F4"/>
    <mergeCell ref="I7:I12"/>
  </mergeCells>
  <printOptions/>
  <pageMargins left="0.984251968503937" right="0.5905511811023623" top="0.984251968503937" bottom="0.3937007874015748" header="0.9055118110236221" footer="0"/>
  <pageSetup firstPageNumber="102" useFirstPageNumber="1" horizontalDpi="120" verticalDpi="120"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9"/>
  <dimension ref="A1:N23"/>
  <sheetViews>
    <sheetView zoomScaleSheetLayoutView="100" workbookViewId="0" topLeftCell="A1">
      <pane xSplit="1" ySplit="5" topLeftCell="B12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E16" sqref="E16:E17"/>
    </sheetView>
  </sheetViews>
  <sheetFormatPr defaultColWidth="9.00390625" defaultRowHeight="12.75"/>
  <cols>
    <col min="1" max="1" width="35.125" style="0" customWidth="1"/>
    <col min="2" max="2" width="7.00390625" style="0" customWidth="1"/>
    <col min="3" max="3" width="6.375" style="0" customWidth="1"/>
    <col min="4" max="4" width="0.37109375" style="0" hidden="1" customWidth="1"/>
    <col min="5" max="5" width="8.625" style="0" customWidth="1"/>
    <col min="6" max="6" width="8.00390625" style="0" customWidth="1"/>
    <col min="7" max="7" width="9.625" style="0" customWidth="1"/>
    <col min="8" max="8" width="9.375" style="0" bestFit="1" customWidth="1"/>
    <col min="9" max="9" width="9.375" style="0" customWidth="1"/>
    <col min="10" max="10" width="9.75390625" style="0" customWidth="1"/>
    <col min="12" max="12" width="11.625" style="0" customWidth="1"/>
    <col min="13" max="13" width="8.75390625" style="0" customWidth="1"/>
    <col min="14" max="14" width="10.25390625" style="0" bestFit="1" customWidth="1"/>
  </cols>
  <sheetData>
    <row r="1" spans="1:13" ht="36.75" customHeight="1">
      <c r="A1" s="1958" t="s">
        <v>1319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</row>
    <row r="2" spans="1:13" ht="16.5" thickBot="1">
      <c r="A2" s="16"/>
      <c r="M2" s="112" t="s">
        <v>1249</v>
      </c>
    </row>
    <row r="3" spans="1:13" s="31" customFormat="1" ht="12.75" customHeight="1" thickBot="1">
      <c r="A3" s="293"/>
      <c r="B3" s="1912" t="s">
        <v>1034</v>
      </c>
      <c r="C3" s="1913"/>
      <c r="D3" s="1913"/>
      <c r="E3" s="1913"/>
      <c r="F3" s="1913"/>
      <c r="G3" s="1913"/>
      <c r="H3" s="1913"/>
      <c r="I3" s="1913"/>
      <c r="J3" s="1913"/>
      <c r="K3" s="1914"/>
      <c r="L3" s="293"/>
      <c r="M3" s="293"/>
    </row>
    <row r="4" spans="1:13" s="174" customFormat="1" ht="12.75" customHeight="1" thickBot="1">
      <c r="A4" s="1826" t="s">
        <v>1413</v>
      </c>
      <c r="B4" s="802" t="s">
        <v>933</v>
      </c>
      <c r="C4" s="1963" t="s">
        <v>1119</v>
      </c>
      <c r="D4" s="173" t="s">
        <v>947</v>
      </c>
      <c r="E4" s="1965" t="s">
        <v>778</v>
      </c>
      <c r="F4" s="1826" t="s">
        <v>934</v>
      </c>
      <c r="G4" s="154" t="s">
        <v>935</v>
      </c>
      <c r="H4" s="688" t="s">
        <v>133</v>
      </c>
      <c r="I4" s="1961" t="s">
        <v>467</v>
      </c>
      <c r="J4" s="1962"/>
      <c r="K4" s="1959" t="s">
        <v>778</v>
      </c>
      <c r="L4" s="803" t="s">
        <v>265</v>
      </c>
      <c r="M4" s="1826" t="s">
        <v>1415</v>
      </c>
    </row>
    <row r="5" spans="1:13" s="174" customFormat="1" ht="27.75" customHeight="1" thickBot="1">
      <c r="A5" s="1827"/>
      <c r="B5" s="673" t="s">
        <v>861</v>
      </c>
      <c r="C5" s="1964"/>
      <c r="D5" s="510">
        <v>0.15</v>
      </c>
      <c r="E5" s="1966"/>
      <c r="F5" s="1827"/>
      <c r="G5" s="507" t="s">
        <v>134</v>
      </c>
      <c r="H5" s="51" t="s">
        <v>136</v>
      </c>
      <c r="I5" s="508" t="s">
        <v>629</v>
      </c>
      <c r="J5" s="509" t="s">
        <v>1118</v>
      </c>
      <c r="K5" s="1960"/>
      <c r="L5" s="51" t="s">
        <v>120</v>
      </c>
      <c r="M5" s="1827"/>
    </row>
    <row r="6" spans="1:13" s="161" customFormat="1" ht="13.5" customHeight="1">
      <c r="A6" s="494" t="s">
        <v>499</v>
      </c>
      <c r="B6" s="295"/>
      <c r="C6" s="491"/>
      <c r="D6" s="492"/>
      <c r="E6" s="361"/>
      <c r="F6" s="297"/>
      <c r="G6" s="361"/>
      <c r="H6" s="361"/>
      <c r="I6" s="297"/>
      <c r="J6" s="297"/>
      <c r="K6" s="297"/>
      <c r="L6" s="361"/>
      <c r="M6" s="495"/>
    </row>
    <row r="7" spans="1:13" s="31" customFormat="1" ht="12">
      <c r="A7" s="504" t="s">
        <v>191</v>
      </c>
      <c r="B7" s="66">
        <v>1.2</v>
      </c>
      <c r="C7" s="493">
        <v>3285</v>
      </c>
      <c r="D7" s="362">
        <v>0</v>
      </c>
      <c r="E7" s="484">
        <f aca="true" t="shared" si="0" ref="E7:E12">ROUND(B7*(C7+D7),0)</f>
        <v>3942</v>
      </c>
      <c r="F7" s="486">
        <f aca="true" t="shared" si="1" ref="F7:F12">E7*0.5</f>
        <v>1971</v>
      </c>
      <c r="G7" s="484">
        <f aca="true" t="shared" si="2" ref="G7:G12">ROUNDUP((E7+F7),0)</f>
        <v>5913</v>
      </c>
      <c r="H7" s="336">
        <f aca="true" t="shared" si="3" ref="H7:H12">G7*12</f>
        <v>70956</v>
      </c>
      <c r="I7" s="483">
        <f aca="true" t="shared" si="4" ref="I7:I12">ROUNDUP(H7*3.1/100,0)</f>
        <v>2200</v>
      </c>
      <c r="J7" s="483">
        <f>ROUNDUP(H7*20/100,0)</f>
        <v>14192</v>
      </c>
      <c r="K7" s="484">
        <f aca="true" t="shared" si="5" ref="K7:K12">ROUND(SUM(I7:J7),0)</f>
        <v>16392</v>
      </c>
      <c r="L7" s="488">
        <f aca="true" t="shared" si="6" ref="L7:L12">H7+K7</f>
        <v>87348</v>
      </c>
      <c r="M7" s="118"/>
    </row>
    <row r="8" spans="1:13" s="31" customFormat="1" ht="12">
      <c r="A8" s="504" t="s">
        <v>142</v>
      </c>
      <c r="B8" s="28">
        <v>7</v>
      </c>
      <c r="C8" s="362">
        <v>3552</v>
      </c>
      <c r="D8" s="362">
        <v>0</v>
      </c>
      <c r="E8" s="484">
        <f t="shared" si="0"/>
        <v>24864</v>
      </c>
      <c r="F8" s="486">
        <f t="shared" si="1"/>
        <v>12432</v>
      </c>
      <c r="G8" s="484">
        <f t="shared" si="2"/>
        <v>37296</v>
      </c>
      <c r="H8" s="336">
        <f t="shared" si="3"/>
        <v>447552</v>
      </c>
      <c r="I8" s="483">
        <f t="shared" si="4"/>
        <v>13875</v>
      </c>
      <c r="J8" s="483">
        <f>ROUNDUP(H8*20/100,0)</f>
        <v>89511</v>
      </c>
      <c r="K8" s="484">
        <f t="shared" si="5"/>
        <v>103386</v>
      </c>
      <c r="L8" s="488">
        <f t="shared" si="6"/>
        <v>550938</v>
      </c>
      <c r="M8" s="118"/>
    </row>
    <row r="9" spans="1:13" s="31" customFormat="1" ht="12">
      <c r="A9" s="504" t="s">
        <v>696</v>
      </c>
      <c r="B9" s="28">
        <v>3.05</v>
      </c>
      <c r="C9" s="362">
        <v>3001</v>
      </c>
      <c r="D9" s="362">
        <v>0</v>
      </c>
      <c r="E9" s="484">
        <f t="shared" si="0"/>
        <v>9153</v>
      </c>
      <c r="F9" s="486">
        <f t="shared" si="1"/>
        <v>4576.5</v>
      </c>
      <c r="G9" s="484">
        <f t="shared" si="2"/>
        <v>13730</v>
      </c>
      <c r="H9" s="336">
        <f t="shared" si="3"/>
        <v>164760</v>
      </c>
      <c r="I9" s="483">
        <f t="shared" si="4"/>
        <v>5108</v>
      </c>
      <c r="J9" s="483">
        <f>ROUNDUP(H9*20/100,0)</f>
        <v>32952</v>
      </c>
      <c r="K9" s="484">
        <f t="shared" si="5"/>
        <v>38060</v>
      </c>
      <c r="L9" s="488">
        <f t="shared" si="6"/>
        <v>202820</v>
      </c>
      <c r="M9" s="118" t="s">
        <v>541</v>
      </c>
    </row>
    <row r="10" spans="1:13" s="31" customFormat="1" ht="12">
      <c r="A10" s="504" t="s">
        <v>760</v>
      </c>
      <c r="B10" s="28">
        <v>2</v>
      </c>
      <c r="C10" s="362">
        <v>3552</v>
      </c>
      <c r="D10" s="362">
        <v>0</v>
      </c>
      <c r="E10" s="484">
        <f t="shared" si="0"/>
        <v>7104</v>
      </c>
      <c r="F10" s="486">
        <f t="shared" si="1"/>
        <v>3552</v>
      </c>
      <c r="G10" s="484">
        <f t="shared" si="2"/>
        <v>10656</v>
      </c>
      <c r="H10" s="336">
        <f t="shared" si="3"/>
        <v>127872</v>
      </c>
      <c r="I10" s="483">
        <f t="shared" si="4"/>
        <v>3965</v>
      </c>
      <c r="J10" s="483">
        <f>ROUNDUP(H10*20/100,0)</f>
        <v>25575</v>
      </c>
      <c r="K10" s="484">
        <f t="shared" si="5"/>
        <v>29540</v>
      </c>
      <c r="L10" s="488">
        <f t="shared" si="6"/>
        <v>157412</v>
      </c>
      <c r="M10" s="118"/>
    </row>
    <row r="11" spans="1:13" s="31" customFormat="1" ht="12">
      <c r="A11" s="504" t="s">
        <v>761</v>
      </c>
      <c r="B11" s="66">
        <v>2</v>
      </c>
      <c r="C11" s="362">
        <v>3836</v>
      </c>
      <c r="D11" s="362">
        <v>0</v>
      </c>
      <c r="E11" s="484">
        <f t="shared" si="0"/>
        <v>7672</v>
      </c>
      <c r="F11" s="486">
        <f t="shared" si="1"/>
        <v>3836</v>
      </c>
      <c r="G11" s="484">
        <f t="shared" si="2"/>
        <v>11508</v>
      </c>
      <c r="H11" s="336">
        <f t="shared" si="3"/>
        <v>138096</v>
      </c>
      <c r="I11" s="483">
        <f t="shared" si="4"/>
        <v>4281</v>
      </c>
      <c r="J11" s="483">
        <f>ROUNDUP(H11*20/100,0)</f>
        <v>27620</v>
      </c>
      <c r="K11" s="484">
        <f t="shared" si="5"/>
        <v>31901</v>
      </c>
      <c r="L11" s="488">
        <f t="shared" si="6"/>
        <v>169997</v>
      </c>
      <c r="M11" s="118"/>
    </row>
    <row r="12" spans="1:13" s="31" customFormat="1" ht="12.75" thickBot="1">
      <c r="A12" s="504" t="s">
        <v>762</v>
      </c>
      <c r="B12" s="66">
        <v>6.5</v>
      </c>
      <c r="C12" s="362">
        <v>3552</v>
      </c>
      <c r="D12" s="362">
        <v>0</v>
      </c>
      <c r="E12" s="484">
        <f t="shared" si="0"/>
        <v>23088</v>
      </c>
      <c r="F12" s="486">
        <f t="shared" si="1"/>
        <v>11544</v>
      </c>
      <c r="G12" s="484">
        <f t="shared" si="2"/>
        <v>34632</v>
      </c>
      <c r="H12" s="336">
        <f t="shared" si="3"/>
        <v>415584</v>
      </c>
      <c r="I12" s="483">
        <f t="shared" si="4"/>
        <v>12884</v>
      </c>
      <c r="J12" s="483">
        <f>ROUNDUP(H12*20/100,0)+1</f>
        <v>83118</v>
      </c>
      <c r="K12" s="484">
        <f t="shared" si="5"/>
        <v>96002</v>
      </c>
      <c r="L12" s="488">
        <f t="shared" si="6"/>
        <v>511586</v>
      </c>
      <c r="M12" s="118"/>
    </row>
    <row r="13" spans="1:13" s="64" customFormat="1" ht="13.5" customHeight="1" thickBot="1">
      <c r="A13" s="343" t="s">
        <v>253</v>
      </c>
      <c r="B13" s="46">
        <f>SUM(B7:B12)</f>
        <v>21.75</v>
      </c>
      <c r="C13" s="148" t="s">
        <v>318</v>
      </c>
      <c r="D13" s="363" t="s">
        <v>318</v>
      </c>
      <c r="E13" s="487">
        <f aca="true" t="shared" si="7" ref="E13:K13">SUM(E7:E12)</f>
        <v>75823</v>
      </c>
      <c r="F13" s="487">
        <f>SUM(F7:F12)</f>
        <v>37911.5</v>
      </c>
      <c r="G13" s="487">
        <f t="shared" si="7"/>
        <v>113735</v>
      </c>
      <c r="H13" s="944">
        <f>SUM(H7:H12)</f>
        <v>1364820</v>
      </c>
      <c r="I13" s="946">
        <f>ROUNDUP(SUM(I7:I12),0)</f>
        <v>42313</v>
      </c>
      <c r="J13" s="947">
        <f>ROUNDUP(SUM(J7:J12),0)</f>
        <v>272968</v>
      </c>
      <c r="K13" s="945">
        <f t="shared" si="7"/>
        <v>315281</v>
      </c>
      <c r="L13" s="489">
        <f>ROUNDUP(SUM(L7:L12),0)</f>
        <v>1680101</v>
      </c>
      <c r="M13" s="149"/>
    </row>
    <row r="14" spans="1:13" s="31" customFormat="1" ht="15.75" customHeight="1">
      <c r="A14" s="505" t="s">
        <v>860</v>
      </c>
      <c r="B14" s="65"/>
      <c r="C14" s="91"/>
      <c r="D14" s="91"/>
      <c r="E14" s="91"/>
      <c r="F14" s="91"/>
      <c r="G14" s="91"/>
      <c r="H14" s="809"/>
      <c r="I14" s="484"/>
      <c r="J14" s="943"/>
      <c r="K14" s="942"/>
      <c r="L14" s="466"/>
      <c r="M14" s="467"/>
    </row>
    <row r="15" spans="1:13" s="31" customFormat="1" ht="12">
      <c r="A15" s="120" t="s">
        <v>874</v>
      </c>
      <c r="B15" s="66"/>
      <c r="C15" s="59"/>
      <c r="D15" s="59"/>
      <c r="E15" s="484">
        <f>SUM(E16:E18)</f>
        <v>9975</v>
      </c>
      <c r="F15" s="484"/>
      <c r="G15" s="484">
        <f>E15+F15</f>
        <v>9975</v>
      </c>
      <c r="H15" s="484">
        <f>G15</f>
        <v>9975</v>
      </c>
      <c r="I15" s="483">
        <f>ROUNDUP(H15*3.1/100,0)</f>
        <v>310</v>
      </c>
      <c r="J15" s="484">
        <f>ROUNDUP(H15*20/100,0)</f>
        <v>1995</v>
      </c>
      <c r="K15" s="486">
        <f>ROUNDUP(SUM(I15:J15),0)</f>
        <v>2305</v>
      </c>
      <c r="L15" s="485">
        <f>H15+K15</f>
        <v>12280</v>
      </c>
      <c r="M15" s="118"/>
    </row>
    <row r="16" spans="1:13" s="31" customFormat="1" ht="12">
      <c r="A16" s="120" t="s">
        <v>1192</v>
      </c>
      <c r="B16" s="66">
        <v>2</v>
      </c>
      <c r="C16" s="59">
        <v>2000</v>
      </c>
      <c r="D16" s="59"/>
      <c r="E16" s="484">
        <f>B16*C16</f>
        <v>4000</v>
      </c>
      <c r="F16" s="484"/>
      <c r="G16" s="484">
        <f>E16+F16</f>
        <v>4000</v>
      </c>
      <c r="H16" s="484">
        <f>G16</f>
        <v>4000</v>
      </c>
      <c r="I16" s="483">
        <f>ROUNDUP(H16*3.1/100,0)</f>
        <v>124</v>
      </c>
      <c r="J16" s="484">
        <f>ROUNDUP(H16*20/100,0)</f>
        <v>800</v>
      </c>
      <c r="K16" s="486">
        <f>SUM(I16:J16)</f>
        <v>924</v>
      </c>
      <c r="L16" s="485">
        <f>H16+K16</f>
        <v>4924</v>
      </c>
      <c r="M16" s="118"/>
    </row>
    <row r="17" spans="1:13" s="31" customFormat="1" ht="12">
      <c r="A17" s="120" t="s">
        <v>264</v>
      </c>
      <c r="B17" s="66">
        <v>10</v>
      </c>
      <c r="C17" s="59">
        <v>170</v>
      </c>
      <c r="D17" s="59"/>
      <c r="E17" s="484">
        <f>B17*C17</f>
        <v>1700</v>
      </c>
      <c r="F17" s="484"/>
      <c r="G17" s="484">
        <f>E17+F17</f>
        <v>1700</v>
      </c>
      <c r="H17" s="484">
        <f>G17</f>
        <v>1700</v>
      </c>
      <c r="I17" s="483">
        <f>ROUNDUP(H17*3.1/100,0)</f>
        <v>53</v>
      </c>
      <c r="J17" s="484">
        <f>ROUNDUP(H17*20/100,0)+1</f>
        <v>341</v>
      </c>
      <c r="K17" s="486">
        <f>SUM(I17:J17)</f>
        <v>394</v>
      </c>
      <c r="L17" s="485">
        <f>H17+K17</f>
        <v>2094</v>
      </c>
      <c r="M17" s="118"/>
    </row>
    <row r="18" spans="1:13" s="31" customFormat="1" ht="12.75" thickBot="1">
      <c r="A18" s="1592" t="s">
        <v>625</v>
      </c>
      <c r="B18" s="66">
        <v>5</v>
      </c>
      <c r="C18" s="59">
        <v>855</v>
      </c>
      <c r="D18" s="59"/>
      <c r="E18" s="484">
        <f>B18*C18</f>
        <v>4275</v>
      </c>
      <c r="F18" s="484"/>
      <c r="G18" s="484">
        <f>E18+F18</f>
        <v>4275</v>
      </c>
      <c r="H18" s="484">
        <f>G18</f>
        <v>4275</v>
      </c>
      <c r="I18" s="483">
        <f>ROUNDUP(H18*3.1/100,0)</f>
        <v>133</v>
      </c>
      <c r="J18" s="484">
        <f>ROUNDUP(H18*20/100,0)+1</f>
        <v>856</v>
      </c>
      <c r="K18" s="486">
        <f>SUM(I18:J18)</f>
        <v>989</v>
      </c>
      <c r="L18" s="485">
        <f>H18+K18</f>
        <v>5264</v>
      </c>
      <c r="M18" s="118"/>
    </row>
    <row r="19" spans="1:13" s="64" customFormat="1" ht="17.25" customHeight="1" thickBot="1">
      <c r="A19" s="343" t="s">
        <v>726</v>
      </c>
      <c r="B19" s="46" t="s">
        <v>318</v>
      </c>
      <c r="C19" s="148" t="s">
        <v>318</v>
      </c>
      <c r="D19" s="363" t="s">
        <v>318</v>
      </c>
      <c r="E19" s="487">
        <f>E15</f>
        <v>9975</v>
      </c>
      <c r="F19" s="487">
        <f aca="true" t="shared" si="8" ref="F19:L19">F15</f>
        <v>0</v>
      </c>
      <c r="G19" s="487">
        <f t="shared" si="8"/>
        <v>9975</v>
      </c>
      <c r="H19" s="487">
        <f t="shared" si="8"/>
        <v>9975</v>
      </c>
      <c r="I19" s="487">
        <f t="shared" si="8"/>
        <v>310</v>
      </c>
      <c r="J19" s="487">
        <f t="shared" si="8"/>
        <v>1995</v>
      </c>
      <c r="K19" s="487">
        <f t="shared" si="8"/>
        <v>2305</v>
      </c>
      <c r="L19" s="487">
        <f t="shared" si="8"/>
        <v>12280</v>
      </c>
      <c r="M19" s="149"/>
    </row>
    <row r="20" spans="1:14" s="322" customFormat="1" ht="16.5" customHeight="1" thickBot="1">
      <c r="A20" s="150" t="s">
        <v>265</v>
      </c>
      <c r="B20" s="109"/>
      <c r="C20" s="109"/>
      <c r="D20" s="109"/>
      <c r="E20" s="481">
        <f aca="true" t="shared" si="9" ref="E20:L20">ROUNDDOWN(E13+E19,0)</f>
        <v>85798</v>
      </c>
      <c r="F20" s="482">
        <f t="shared" si="9"/>
        <v>37911</v>
      </c>
      <c r="G20" s="481">
        <f t="shared" si="9"/>
        <v>123710</v>
      </c>
      <c r="H20" s="503">
        <f t="shared" si="9"/>
        <v>1374795</v>
      </c>
      <c r="I20" s="482">
        <f t="shared" si="9"/>
        <v>42623</v>
      </c>
      <c r="J20" s="481">
        <f t="shared" si="9"/>
        <v>274963</v>
      </c>
      <c r="K20" s="482">
        <f t="shared" si="9"/>
        <v>317586</v>
      </c>
      <c r="L20" s="441">
        <f t="shared" si="9"/>
        <v>1692381</v>
      </c>
      <c r="M20" s="110"/>
      <c r="N20" s="323">
        <f>SUM(H20,K20)</f>
        <v>1692381</v>
      </c>
    </row>
    <row r="21" s="31" customFormat="1" ht="11.25" customHeight="1"/>
    <row r="22" s="31" customFormat="1" ht="12">
      <c r="A22" s="31" t="s">
        <v>1462</v>
      </c>
    </row>
    <row r="23" s="31" customFormat="1" ht="12">
      <c r="A23" s="31" t="s">
        <v>318</v>
      </c>
    </row>
    <row r="24" s="31" customFormat="1" ht="12"/>
    <row r="25" s="31" customFormat="1" ht="12"/>
    <row r="26" s="31" customFormat="1" ht="12"/>
    <row r="27" s="31" customFormat="1" ht="12"/>
    <row r="28" s="31" customFormat="1" ht="12"/>
    <row r="29" s="31" customFormat="1" ht="12"/>
    <row r="30" s="31" customFormat="1" ht="12"/>
    <row r="31" s="31" customFormat="1" ht="12"/>
    <row r="32" s="31" customFormat="1" ht="12"/>
    <row r="33" s="31" customFormat="1" ht="12"/>
    <row r="34" s="31" customFormat="1" ht="12"/>
    <row r="35" s="31" customFormat="1" ht="12"/>
    <row r="36" s="31" customFormat="1" ht="12"/>
    <row r="37" s="31" customFormat="1" ht="12"/>
    <row r="38" s="31" customFormat="1" ht="12"/>
    <row r="39" s="31" customFormat="1" ht="12"/>
    <row r="40" s="31" customFormat="1" ht="12"/>
    <row r="41" s="31" customFormat="1" ht="12"/>
    <row r="42" s="31" customFormat="1" ht="12"/>
    <row r="43" s="31" customFormat="1" ht="12"/>
    <row r="44" s="31" customFormat="1" ht="12"/>
    <row r="45" s="31" customFormat="1" ht="12"/>
    <row r="46" s="31" customFormat="1" ht="12"/>
    <row r="47" s="31" customFormat="1" ht="12"/>
    <row r="48" s="31" customFormat="1" ht="12"/>
    <row r="49" s="31" customFormat="1" ht="12"/>
    <row r="50" s="31" customFormat="1" ht="12"/>
    <row r="51" s="31" customFormat="1" ht="12"/>
  </sheetData>
  <mergeCells count="9">
    <mergeCell ref="A1:M1"/>
    <mergeCell ref="B3:K3"/>
    <mergeCell ref="M4:M5"/>
    <mergeCell ref="A4:A5"/>
    <mergeCell ref="K4:K5"/>
    <mergeCell ref="F4:F5"/>
    <mergeCell ref="I4:J4"/>
    <mergeCell ref="C4:C5"/>
    <mergeCell ref="E4:E5"/>
  </mergeCells>
  <printOptions/>
  <pageMargins left="0.5905511811023623" right="0.3937007874015748" top="0.984251968503937" bottom="0.1968503937007874" header="0.7086614173228347" footer="0.5118110236220472"/>
  <pageSetup firstPageNumber="103" useFirstPageNumber="1" horizontalDpi="120" verticalDpi="12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Q53"/>
  <sheetViews>
    <sheetView view="pageBreakPreview" zoomScale="75" zoomScaleNormal="75" zoomScaleSheetLayoutView="75" workbookViewId="0" topLeftCell="A1">
      <selection activeCell="B25" sqref="B25"/>
    </sheetView>
  </sheetViews>
  <sheetFormatPr defaultColWidth="9.00390625" defaultRowHeight="12.75"/>
  <cols>
    <col min="1" max="1" width="3.625" style="0" customWidth="1"/>
    <col min="2" max="2" width="31.625" style="0" customWidth="1"/>
    <col min="3" max="3" width="7.25390625" style="0" customWidth="1"/>
    <col min="4" max="4" width="8.25390625" style="0" customWidth="1"/>
    <col min="5" max="5" width="9.25390625" style="0" customWidth="1"/>
    <col min="6" max="6" width="6.125" style="0" customWidth="1"/>
    <col min="7" max="7" width="5.75390625" style="0" customWidth="1"/>
    <col min="8" max="8" width="6.125" style="0" customWidth="1"/>
    <col min="9" max="9" width="5.00390625" style="0" customWidth="1"/>
    <col min="10" max="10" width="6.125" style="0" customWidth="1"/>
    <col min="11" max="11" width="7.375" style="0" customWidth="1"/>
    <col min="12" max="12" width="13.00390625" style="0" customWidth="1"/>
    <col min="13" max="13" width="17.25390625" style="4" customWidth="1"/>
    <col min="14" max="14" width="5.25390625" style="0" customWidth="1"/>
  </cols>
  <sheetData>
    <row r="1" s="7" customFormat="1" ht="17.25" customHeight="1">
      <c r="B1" s="15" t="s">
        <v>1560</v>
      </c>
    </row>
    <row r="2" spans="1:2" s="7" customFormat="1" ht="15">
      <c r="A2" s="15"/>
      <c r="B2" s="287" t="s">
        <v>1720</v>
      </c>
    </row>
    <row r="3" spans="1:13" s="7" customFormat="1" ht="15.75" thickBot="1">
      <c r="A3" s="15"/>
      <c r="B3" s="287"/>
      <c r="M3" s="101" t="s">
        <v>1575</v>
      </c>
    </row>
    <row r="4" spans="1:13" ht="12.75">
      <c r="A4" s="293"/>
      <c r="B4" s="736"/>
      <c r="C4" s="1882" t="s">
        <v>1034</v>
      </c>
      <c r="D4" s="1883"/>
      <c r="E4" s="1883"/>
      <c r="F4" s="1883"/>
      <c r="G4" s="1884"/>
      <c r="H4" s="1885" t="s">
        <v>1035</v>
      </c>
      <c r="I4" s="1885"/>
      <c r="J4" s="1885"/>
      <c r="K4" s="1886"/>
      <c r="L4" s="1877" t="s">
        <v>265</v>
      </c>
      <c r="M4" s="692" t="s">
        <v>318</v>
      </c>
    </row>
    <row r="5" spans="1:13" s="162" customFormat="1" ht="13.5" customHeight="1" thickBot="1">
      <c r="A5" s="1865" t="s">
        <v>316</v>
      </c>
      <c r="B5" s="1887" t="s">
        <v>317</v>
      </c>
      <c r="C5" s="1854" t="s">
        <v>901</v>
      </c>
      <c r="D5" s="1855"/>
      <c r="E5" s="1855"/>
      <c r="F5" s="1855"/>
      <c r="G5" s="687"/>
      <c r="H5" s="1855" t="s">
        <v>902</v>
      </c>
      <c r="I5" s="1855"/>
      <c r="J5" s="1855"/>
      <c r="K5" s="1856"/>
      <c r="L5" s="1878"/>
      <c r="M5" s="296" t="s">
        <v>1047</v>
      </c>
    </row>
    <row r="6" spans="1:13" s="162" customFormat="1" ht="15" customHeight="1" thickBot="1">
      <c r="A6" s="1866"/>
      <c r="B6" s="1866"/>
      <c r="C6" s="333" t="s">
        <v>776</v>
      </c>
      <c r="D6" s="156" t="s">
        <v>777</v>
      </c>
      <c r="E6" s="156" t="s">
        <v>69</v>
      </c>
      <c r="F6" s="160" t="s">
        <v>778</v>
      </c>
      <c r="G6" s="333" t="s">
        <v>467</v>
      </c>
      <c r="H6" s="115" t="s">
        <v>786</v>
      </c>
      <c r="I6" s="158" t="s">
        <v>779</v>
      </c>
      <c r="J6" s="291" t="s">
        <v>785</v>
      </c>
      <c r="K6" s="158" t="s">
        <v>778</v>
      </c>
      <c r="L6" s="158" t="s">
        <v>1359</v>
      </c>
      <c r="M6" s="156"/>
    </row>
    <row r="7" spans="1:13" ht="12.75">
      <c r="A7" s="117" t="s">
        <v>318</v>
      </c>
      <c r="B7" s="233" t="s">
        <v>1784</v>
      </c>
      <c r="C7" s="28"/>
      <c r="D7" s="28"/>
      <c r="E7" s="66"/>
      <c r="F7" s="66"/>
      <c r="G7" s="66"/>
      <c r="H7" s="28"/>
      <c r="I7" s="28"/>
      <c r="J7" s="28"/>
      <c r="K7" s="59"/>
      <c r="L7" s="59"/>
      <c r="M7" s="118"/>
    </row>
    <row r="8" spans="1:13" s="4" customFormat="1" ht="39.75" customHeight="1" thickBot="1">
      <c r="A8" s="166">
        <v>1</v>
      </c>
      <c r="B8" s="309" t="s">
        <v>1450</v>
      </c>
      <c r="C8" s="165"/>
      <c r="D8" s="165"/>
      <c r="E8" s="168"/>
      <c r="F8" s="168">
        <f>C8*D8*E8</f>
        <v>0</v>
      </c>
      <c r="G8" s="168">
        <v>0</v>
      </c>
      <c r="H8" s="165" t="s">
        <v>318</v>
      </c>
      <c r="I8" s="165">
        <v>40</v>
      </c>
      <c r="J8" s="165">
        <v>150</v>
      </c>
      <c r="K8" s="169">
        <f>I8*J8</f>
        <v>6000</v>
      </c>
      <c r="L8" s="169">
        <f>SUM(F8,K8,G8)</f>
        <v>6000</v>
      </c>
      <c r="M8" s="163" t="s">
        <v>842</v>
      </c>
    </row>
    <row r="9" spans="1:13" s="10" customFormat="1" ht="12.75" customHeight="1" thickBot="1">
      <c r="A9" s="146"/>
      <c r="B9" s="148" t="s">
        <v>1783</v>
      </c>
      <c r="C9" s="47"/>
      <c r="D9" s="47"/>
      <c r="E9" s="46"/>
      <c r="F9" s="46">
        <f>SUM(F8:F8)</f>
        <v>0</v>
      </c>
      <c r="G9" s="46">
        <f>SUM(G8:G8)</f>
        <v>0</v>
      </c>
      <c r="H9" s="47"/>
      <c r="I9" s="47"/>
      <c r="J9" s="47"/>
      <c r="K9" s="148">
        <f>SUM(K8:K8)</f>
        <v>6000</v>
      </c>
      <c r="L9" s="148">
        <f>SUM(L8:L8)</f>
        <v>6000</v>
      </c>
      <c r="M9" s="149"/>
    </row>
    <row r="10" spans="1:13" s="1148" customFormat="1" ht="12.75" customHeight="1" thickBot="1">
      <c r="A10" s="1150"/>
      <c r="B10" s="1151" t="s">
        <v>1451</v>
      </c>
      <c r="C10" s="1152"/>
      <c r="D10" s="1152"/>
      <c r="E10" s="1152"/>
      <c r="F10" s="1153">
        <f>F9</f>
        <v>0</v>
      </c>
      <c r="G10" s="1153">
        <f>G9</f>
        <v>0</v>
      </c>
      <c r="H10" s="1152"/>
      <c r="I10" s="1152"/>
      <c r="J10" s="1152"/>
      <c r="K10" s="1151">
        <f>K8</f>
        <v>6000</v>
      </c>
      <c r="L10" s="1153">
        <f>L9</f>
        <v>6000</v>
      </c>
      <c r="M10" s="1154"/>
    </row>
    <row r="11" spans="1:13" s="35" customFormat="1" ht="12.75">
      <c r="A11" s="120" t="s">
        <v>318</v>
      </c>
      <c r="B11" s="197" t="s">
        <v>1786</v>
      </c>
      <c r="C11" s="106"/>
      <c r="D11" s="106"/>
      <c r="E11" s="106"/>
      <c r="F11" s="127"/>
      <c r="G11" s="121"/>
      <c r="H11" s="106"/>
      <c r="I11" s="106"/>
      <c r="J11" s="106"/>
      <c r="K11" s="127"/>
      <c r="L11" s="121"/>
      <c r="M11" s="129"/>
    </row>
    <row r="12" spans="1:13" s="35" customFormat="1" ht="36.75" thickBot="1">
      <c r="A12" s="248">
        <v>1</v>
      </c>
      <c r="B12" s="236" t="s">
        <v>545</v>
      </c>
      <c r="C12" s="170" t="s">
        <v>318</v>
      </c>
      <c r="D12" s="170" t="s">
        <v>318</v>
      </c>
      <c r="E12" s="170" t="s">
        <v>318</v>
      </c>
      <c r="F12" s="195">
        <v>0</v>
      </c>
      <c r="G12" s="270">
        <v>0</v>
      </c>
      <c r="H12" s="170"/>
      <c r="I12" s="170">
        <v>36</v>
      </c>
      <c r="J12" s="170">
        <v>150</v>
      </c>
      <c r="K12" s="195">
        <f>I12*J12</f>
        <v>5400</v>
      </c>
      <c r="L12" s="270">
        <f>SUM(F12:G12,K12:K12)</f>
        <v>5400</v>
      </c>
      <c r="M12" s="313" t="s">
        <v>1514</v>
      </c>
    </row>
    <row r="13" spans="1:13" s="36" customFormat="1" ht="12.75" customHeight="1" thickBot="1">
      <c r="A13" s="130"/>
      <c r="B13" s="133" t="s">
        <v>1783</v>
      </c>
      <c r="C13" s="132"/>
      <c r="D13" s="132"/>
      <c r="E13" s="132"/>
      <c r="F13" s="133">
        <f>SUM(F12:F12)</f>
        <v>0</v>
      </c>
      <c r="G13" s="138">
        <f>SUM(G12:G12)</f>
        <v>0</v>
      </c>
      <c r="H13" s="132"/>
      <c r="I13" s="132"/>
      <c r="J13" s="132"/>
      <c r="K13" s="133">
        <f>SUM(K12:K12)</f>
        <v>5400</v>
      </c>
      <c r="L13" s="133">
        <f>SUM(L12:L12)</f>
        <v>5400</v>
      </c>
      <c r="M13" s="134"/>
    </row>
    <row r="14" spans="1:13" s="35" customFormat="1" ht="12.75">
      <c r="A14" s="120" t="s">
        <v>318</v>
      </c>
      <c r="B14" s="197" t="s">
        <v>1149</v>
      </c>
      <c r="C14" s="106"/>
      <c r="D14" s="106"/>
      <c r="E14" s="106"/>
      <c r="F14" s="127"/>
      <c r="G14" s="121"/>
      <c r="H14" s="106"/>
      <c r="I14" s="106"/>
      <c r="J14" s="106"/>
      <c r="K14" s="127"/>
      <c r="L14" s="121"/>
      <c r="M14" s="129"/>
    </row>
    <row r="15" spans="1:13" s="39" customFormat="1" ht="34.5" customHeight="1" thickBot="1">
      <c r="A15" s="194">
        <v>1</v>
      </c>
      <c r="B15" s="236" t="s">
        <v>1924</v>
      </c>
      <c r="C15" s="170"/>
      <c r="D15" s="170"/>
      <c r="E15" s="184"/>
      <c r="F15" s="184">
        <f>C15*D15*E15</f>
        <v>0</v>
      </c>
      <c r="G15" s="184">
        <v>0</v>
      </c>
      <c r="H15" s="170"/>
      <c r="I15" s="170">
        <v>43</v>
      </c>
      <c r="J15" s="170">
        <v>150</v>
      </c>
      <c r="K15" s="195">
        <f>I15*J15</f>
        <v>6450</v>
      </c>
      <c r="L15" s="195">
        <f>SUM(F15,K15,G15)</f>
        <v>6450</v>
      </c>
      <c r="M15" s="163" t="s">
        <v>202</v>
      </c>
    </row>
    <row r="16" spans="1:13" s="36" customFormat="1" ht="12.75" customHeight="1" thickBot="1">
      <c r="A16" s="130"/>
      <c r="B16" s="133" t="s">
        <v>1783</v>
      </c>
      <c r="C16" s="132"/>
      <c r="D16" s="132"/>
      <c r="E16" s="132"/>
      <c r="F16" s="133">
        <f>SUM(F15:F15)</f>
        <v>0</v>
      </c>
      <c r="G16" s="138">
        <f>SUM(G15:G15)</f>
        <v>0</v>
      </c>
      <c r="H16" s="132"/>
      <c r="I16" s="132"/>
      <c r="J16" s="132"/>
      <c r="K16" s="133">
        <f>SUM(K15:K15)</f>
        <v>6450</v>
      </c>
      <c r="L16" s="136">
        <f>SUM(L15:L15)</f>
        <v>6450</v>
      </c>
      <c r="M16" s="134"/>
    </row>
    <row r="17" spans="1:13" s="1139" customFormat="1" ht="12.75" customHeight="1" thickBot="1">
      <c r="A17" s="1140"/>
      <c r="B17" s="1142" t="s">
        <v>1449</v>
      </c>
      <c r="C17" s="1142"/>
      <c r="D17" s="1142"/>
      <c r="E17" s="1142"/>
      <c r="F17" s="1143">
        <f>F13+F16</f>
        <v>0</v>
      </c>
      <c r="G17" s="1143">
        <f>G13+G16</f>
        <v>0</v>
      </c>
      <c r="H17" s="1142"/>
      <c r="I17" s="1142"/>
      <c r="J17" s="1142"/>
      <c r="K17" s="1143">
        <f>K13+K16</f>
        <v>11850</v>
      </c>
      <c r="L17" s="1143">
        <f>K13+K16</f>
        <v>11850</v>
      </c>
      <c r="M17" s="1144"/>
    </row>
    <row r="18" spans="1:13" s="35" customFormat="1" ht="12.75">
      <c r="A18" s="120" t="s">
        <v>318</v>
      </c>
      <c r="B18" s="314" t="s">
        <v>139</v>
      </c>
      <c r="C18" s="126"/>
      <c r="D18" s="106"/>
      <c r="E18" s="121"/>
      <c r="F18" s="121"/>
      <c r="G18" s="106"/>
      <c r="H18" s="126"/>
      <c r="I18" s="106"/>
      <c r="J18" s="121"/>
      <c r="K18" s="121"/>
      <c r="L18" s="121"/>
      <c r="M18" s="129"/>
    </row>
    <row r="19" spans="1:13" s="35" customFormat="1" ht="48.75" thickBot="1">
      <c r="A19" s="248">
        <v>1</v>
      </c>
      <c r="B19" s="190" t="s">
        <v>1923</v>
      </c>
      <c r="C19" s="262"/>
      <c r="D19" s="190"/>
      <c r="E19" s="242"/>
      <c r="F19" s="242">
        <f>C19*D19*E19</f>
        <v>0</v>
      </c>
      <c r="G19" s="190">
        <v>0</v>
      </c>
      <c r="H19" s="262"/>
      <c r="I19" s="190">
        <v>45</v>
      </c>
      <c r="J19" s="242">
        <v>150</v>
      </c>
      <c r="K19" s="242">
        <f>I19*J19</f>
        <v>6750</v>
      </c>
      <c r="L19" s="242">
        <f>SUM(F19,K19,G19)</f>
        <v>6750</v>
      </c>
      <c r="M19" s="163" t="s">
        <v>842</v>
      </c>
    </row>
    <row r="20" spans="1:13" s="37" customFormat="1" ht="12.75" customHeight="1" thickBot="1">
      <c r="A20" s="130"/>
      <c r="B20" s="131" t="s">
        <v>1783</v>
      </c>
      <c r="C20" s="132"/>
      <c r="D20" s="132"/>
      <c r="E20" s="132"/>
      <c r="F20" s="133">
        <f>SUM(F19:F19)</f>
        <v>0</v>
      </c>
      <c r="G20" s="136">
        <f>SUM(G19:G19)</f>
        <v>0</v>
      </c>
      <c r="H20" s="132" t="s">
        <v>318</v>
      </c>
      <c r="I20" s="132" t="s">
        <v>318</v>
      </c>
      <c r="J20" s="131" t="s">
        <v>318</v>
      </c>
      <c r="K20" s="133">
        <f>SUM(K19:K19)</f>
        <v>6750</v>
      </c>
      <c r="L20" s="136">
        <f>SUM(L19:L19)</f>
        <v>6750</v>
      </c>
      <c r="M20" s="134"/>
    </row>
    <row r="21" spans="1:13" s="35" customFormat="1" ht="12.75">
      <c r="A21" s="120" t="s">
        <v>318</v>
      </c>
      <c r="B21" s="314" t="s">
        <v>140</v>
      </c>
      <c r="C21" s="126"/>
      <c r="D21" s="106"/>
      <c r="E21" s="121"/>
      <c r="F21" s="121"/>
      <c r="G21" s="106"/>
      <c r="H21" s="126"/>
      <c r="I21" s="106"/>
      <c r="J21" s="121"/>
      <c r="K21" s="121"/>
      <c r="L21" s="121"/>
      <c r="M21" s="129"/>
    </row>
    <row r="22" spans="1:13" s="35" customFormat="1" ht="51" customHeight="1" thickBot="1">
      <c r="A22" s="248">
        <v>1</v>
      </c>
      <c r="B22" s="190" t="s">
        <v>200</v>
      </c>
      <c r="C22" s="262"/>
      <c r="D22" s="190"/>
      <c r="E22" s="242"/>
      <c r="F22" s="242">
        <f>C22*D22*E22</f>
        <v>0</v>
      </c>
      <c r="G22" s="190">
        <v>0</v>
      </c>
      <c r="H22" s="262"/>
      <c r="I22" s="190">
        <v>50</v>
      </c>
      <c r="J22" s="242">
        <v>150</v>
      </c>
      <c r="K22" s="242">
        <f>I22*J22</f>
        <v>7500</v>
      </c>
      <c r="L22" s="242">
        <f>SUM(F22,K22,G22)</f>
        <v>7500</v>
      </c>
      <c r="M22" s="163" t="s">
        <v>842</v>
      </c>
    </row>
    <row r="23" spans="1:13" s="37" customFormat="1" ht="12.75" customHeight="1" thickBot="1">
      <c r="A23" s="130"/>
      <c r="B23" s="131" t="s">
        <v>1783</v>
      </c>
      <c r="C23" s="132"/>
      <c r="D23" s="132"/>
      <c r="E23" s="132"/>
      <c r="F23" s="133">
        <f>SUM(F22:F22)</f>
        <v>0</v>
      </c>
      <c r="G23" s="133">
        <f>SUM(G22:G22)</f>
        <v>0</v>
      </c>
      <c r="H23" s="132"/>
      <c r="I23" s="132"/>
      <c r="J23" s="131"/>
      <c r="K23" s="131">
        <f>SUM(K22:K22)</f>
        <v>7500</v>
      </c>
      <c r="L23" s="131">
        <f>SUM(L22:L22)</f>
        <v>7500</v>
      </c>
      <c r="M23" s="134"/>
    </row>
    <row r="24" spans="1:13" s="35" customFormat="1" ht="12.75">
      <c r="A24" s="120" t="s">
        <v>318</v>
      </c>
      <c r="B24" s="135" t="s">
        <v>141</v>
      </c>
      <c r="C24" s="106"/>
      <c r="D24" s="106"/>
      <c r="E24" s="106"/>
      <c r="F24" s="127"/>
      <c r="G24" s="121"/>
      <c r="H24" s="106"/>
      <c r="I24" s="106"/>
      <c r="J24" s="106"/>
      <c r="K24" s="127"/>
      <c r="L24" s="121"/>
      <c r="M24" s="129"/>
    </row>
    <row r="25" spans="1:13" s="35" customFormat="1" ht="37.5" customHeight="1" thickBot="1">
      <c r="A25" s="248">
        <v>1</v>
      </c>
      <c r="B25" s="242" t="s">
        <v>201</v>
      </c>
      <c r="C25" s="190"/>
      <c r="D25" s="190"/>
      <c r="E25" s="190"/>
      <c r="F25" s="236">
        <f>C25*D25*E25</f>
        <v>0</v>
      </c>
      <c r="G25" s="242">
        <v>0</v>
      </c>
      <c r="H25" s="190"/>
      <c r="I25" s="190">
        <v>50</v>
      </c>
      <c r="J25" s="190">
        <v>150</v>
      </c>
      <c r="K25" s="236">
        <f>I25*J25</f>
        <v>7500</v>
      </c>
      <c r="L25" s="236">
        <f>SUM(F25,K25,G25)</f>
        <v>7500</v>
      </c>
      <c r="M25" s="163" t="s">
        <v>842</v>
      </c>
    </row>
    <row r="26" spans="1:13" s="37" customFormat="1" ht="12.75" customHeight="1" thickBot="1">
      <c r="A26" s="130"/>
      <c r="B26" s="131" t="s">
        <v>1783</v>
      </c>
      <c r="C26" s="132"/>
      <c r="D26" s="132"/>
      <c r="E26" s="132"/>
      <c r="F26" s="133">
        <f>SUM(F25:F25)</f>
        <v>0</v>
      </c>
      <c r="G26" s="133">
        <f>SUM(G25:G25)</f>
        <v>0</v>
      </c>
      <c r="H26" s="132"/>
      <c r="I26" s="132"/>
      <c r="J26" s="131"/>
      <c r="K26" s="131">
        <f>SUM(K25:K25)</f>
        <v>7500</v>
      </c>
      <c r="L26" s="131">
        <f>SUM(L25:L25)</f>
        <v>7500</v>
      </c>
      <c r="M26" s="134"/>
    </row>
    <row r="27" spans="1:13" s="1157" customFormat="1" ht="12.75" customHeight="1" thickBot="1">
      <c r="A27" s="1143"/>
      <c r="B27" s="1143" t="s">
        <v>1455</v>
      </c>
      <c r="C27" s="1142"/>
      <c r="D27" s="1142"/>
      <c r="E27" s="1142"/>
      <c r="F27" s="1142">
        <f>F20+F23+F26</f>
        <v>0</v>
      </c>
      <c r="G27" s="1142">
        <f aca="true" t="shared" si="0" ref="G27:L27">G20+G23+G26</f>
        <v>0</v>
      </c>
      <c r="H27" s="1142"/>
      <c r="I27" s="1142"/>
      <c r="J27" s="1142"/>
      <c r="K27" s="1142">
        <f t="shared" si="0"/>
        <v>21750</v>
      </c>
      <c r="L27" s="1142">
        <f t="shared" si="0"/>
        <v>21750</v>
      </c>
      <c r="M27" s="1156"/>
    </row>
    <row r="28" spans="1:17" s="29" customFormat="1" ht="15.75" customHeight="1" thickBot="1">
      <c r="A28" s="315"/>
      <c r="B28" s="286" t="s">
        <v>485</v>
      </c>
      <c r="C28" s="205"/>
      <c r="D28" s="205"/>
      <c r="E28" s="205"/>
      <c r="F28" s="255">
        <f>SUM(F13,F16,F20,F23,F9,F26)</f>
        <v>0</v>
      </c>
      <c r="G28" s="255">
        <f>SUM(G13,G16,G20,G23,G9,G26)</f>
        <v>0</v>
      </c>
      <c r="H28" s="205" t="s">
        <v>318</v>
      </c>
      <c r="I28" s="205" t="s">
        <v>318</v>
      </c>
      <c r="J28" s="205" t="s">
        <v>318</v>
      </c>
      <c r="K28" s="255">
        <f>SUM(K13,K16,K20,K23,K9,K26)</f>
        <v>39600</v>
      </c>
      <c r="L28" s="255">
        <f>SUM(L13,L16,L20,L23,L9,L26)</f>
        <v>39600</v>
      </c>
      <c r="M28" s="206"/>
      <c r="Q28" s="53">
        <f>SUM(F28:K28)</f>
        <v>39600</v>
      </c>
    </row>
    <row r="29" spans="1:13" s="35" customFormat="1" ht="12.75">
      <c r="A29" s="139" t="s">
        <v>67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="35" customFormat="1" ht="12.75">
      <c r="M30" s="39"/>
    </row>
    <row r="31" s="35" customFormat="1" ht="12.75">
      <c r="M31" s="39"/>
    </row>
    <row r="53" ht="12.75">
      <c r="A53" t="s">
        <v>913</v>
      </c>
    </row>
  </sheetData>
  <mergeCells count="7">
    <mergeCell ref="L4:L5"/>
    <mergeCell ref="C4:G4"/>
    <mergeCell ref="H4:K4"/>
    <mergeCell ref="A5:A6"/>
    <mergeCell ref="B5:B6"/>
    <mergeCell ref="C5:F5"/>
    <mergeCell ref="H5:K5"/>
  </mergeCells>
  <printOptions/>
  <pageMargins left="0.7874015748031497" right="0.3937007874015748" top="0.984251968503937" bottom="0.3937007874015748" header="0.11811023622047245" footer="0"/>
  <pageSetup firstPageNumber="0" useFirstPageNumber="1" horizontalDpi="120" verticalDpi="12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/>
  <dimension ref="A1:K33"/>
  <sheetViews>
    <sheetView view="pageBreakPreview" zoomScale="75" zoomScaleNormal="75" zoomScaleSheetLayoutView="75" workbookViewId="0" topLeftCell="A10">
      <selection activeCell="J28" sqref="J28"/>
    </sheetView>
  </sheetViews>
  <sheetFormatPr defaultColWidth="9.00390625" defaultRowHeight="12.75"/>
  <cols>
    <col min="1" max="1" width="3.75390625" style="0" customWidth="1"/>
    <col min="2" max="2" width="46.875" style="62" customWidth="1"/>
    <col min="3" max="3" width="8.625" style="24" customWidth="1"/>
    <col min="4" max="4" width="10.25390625" style="0" customWidth="1"/>
    <col min="5" max="5" width="11.125" style="0" customWidth="1"/>
    <col min="6" max="7" width="9.25390625" style="0" customWidth="1"/>
    <col min="8" max="9" width="10.625" style="0" customWidth="1"/>
    <col min="10" max="10" width="22.375" style="31" customWidth="1"/>
  </cols>
  <sheetData>
    <row r="1" ht="15">
      <c r="A1" s="15" t="s">
        <v>1534</v>
      </c>
    </row>
    <row r="2" spans="1:2" ht="13.5" customHeight="1">
      <c r="A2" s="16"/>
      <c r="B2" s="287" t="s">
        <v>346</v>
      </c>
    </row>
    <row r="3" spans="1:9" ht="15" customHeight="1">
      <c r="A3" s="6" t="s">
        <v>1536</v>
      </c>
      <c r="C3" s="23"/>
      <c r="D3" s="1"/>
      <c r="E3" s="1"/>
      <c r="F3" s="1"/>
      <c r="G3" s="1"/>
      <c r="H3" s="1"/>
      <c r="I3" s="1"/>
    </row>
    <row r="4" spans="1:9" ht="15" customHeight="1" thickBot="1">
      <c r="A4" s="982"/>
      <c r="B4" s="983"/>
      <c r="C4" s="984"/>
      <c r="D4" s="856"/>
      <c r="E4" s="856"/>
      <c r="F4" s="856"/>
      <c r="G4" s="856"/>
      <c r="H4" s="856"/>
      <c r="I4" s="984" t="s">
        <v>121</v>
      </c>
    </row>
    <row r="5" spans="1:9" ht="13.5" thickBot="1">
      <c r="A5" s="1967" t="s">
        <v>905</v>
      </c>
      <c r="B5" s="1865" t="s">
        <v>1413</v>
      </c>
      <c r="C5" s="1969" t="s">
        <v>1414</v>
      </c>
      <c r="D5" s="296" t="s">
        <v>137</v>
      </c>
      <c r="E5" s="979" t="s">
        <v>1006</v>
      </c>
      <c r="F5" s="980" t="s">
        <v>1006</v>
      </c>
      <c r="G5" s="981" t="s">
        <v>1006</v>
      </c>
      <c r="H5" s="803" t="s">
        <v>265</v>
      </c>
      <c r="I5" s="1865" t="s">
        <v>1415</v>
      </c>
    </row>
    <row r="6" spans="1:9" ht="12" customHeight="1" thickBot="1">
      <c r="A6" s="1968"/>
      <c r="B6" s="1866"/>
      <c r="C6" s="1970"/>
      <c r="D6" s="156" t="s">
        <v>368</v>
      </c>
      <c r="E6" s="847">
        <v>226</v>
      </c>
      <c r="F6" s="849">
        <v>340</v>
      </c>
      <c r="G6" s="848">
        <v>222</v>
      </c>
      <c r="H6" s="333" t="s">
        <v>1364</v>
      </c>
      <c r="I6" s="1866"/>
    </row>
    <row r="7" spans="1:9" ht="12.75">
      <c r="A7" s="293"/>
      <c r="B7" s="372" t="s">
        <v>1407</v>
      </c>
      <c r="C7" s="80"/>
      <c r="D7" s="66"/>
      <c r="E7" s="66"/>
      <c r="F7" s="66"/>
      <c r="G7" s="66"/>
      <c r="H7" s="66"/>
      <c r="I7" s="118" t="s">
        <v>318</v>
      </c>
    </row>
    <row r="8" spans="1:9" ht="12.75" customHeight="1">
      <c r="A8" s="373">
        <v>1</v>
      </c>
      <c r="B8" s="374" t="s">
        <v>1579</v>
      </c>
      <c r="C8" s="75" t="s">
        <v>1729</v>
      </c>
      <c r="D8" s="58">
        <v>140</v>
      </c>
      <c r="E8" s="60">
        <f>ROUNDUP(15.7*D8,0)</f>
        <v>2198</v>
      </c>
      <c r="F8" s="60" t="s">
        <v>318</v>
      </c>
      <c r="G8" s="69"/>
      <c r="H8" s="59">
        <f>ROUNDUP(SUM(E8:G8),0)</f>
        <v>2198</v>
      </c>
      <c r="I8" s="835" t="s">
        <v>541</v>
      </c>
    </row>
    <row r="9" spans="1:9" ht="42.75" customHeight="1">
      <c r="A9" s="294">
        <v>2</v>
      </c>
      <c r="B9" s="167" t="s">
        <v>1578</v>
      </c>
      <c r="C9" s="80"/>
      <c r="D9" s="66"/>
      <c r="E9" s="59"/>
      <c r="F9" s="59"/>
      <c r="G9" s="28"/>
      <c r="H9" s="68" t="s">
        <v>318</v>
      </c>
      <c r="I9" s="670"/>
    </row>
    <row r="10" spans="1:9" ht="12.75">
      <c r="A10" s="373"/>
      <c r="B10" s="374" t="s">
        <v>483</v>
      </c>
      <c r="C10" s="75">
        <f>270*52/12</f>
        <v>1170</v>
      </c>
      <c r="D10" s="58">
        <v>2</v>
      </c>
      <c r="E10" s="60">
        <f>C10*D10</f>
        <v>2340</v>
      </c>
      <c r="F10" s="60" t="s">
        <v>318</v>
      </c>
      <c r="G10" s="69"/>
      <c r="H10" s="60">
        <f aca="true" t="shared" si="0" ref="H10:H27">ROUNDUP(SUM(E10:G10),0)</f>
        <v>2340</v>
      </c>
      <c r="I10" s="670"/>
    </row>
    <row r="11" spans="1:9" ht="12.75">
      <c r="A11" s="294">
        <v>3</v>
      </c>
      <c r="B11" s="167" t="s">
        <v>1580</v>
      </c>
      <c r="C11" s="80"/>
      <c r="D11" s="66"/>
      <c r="E11" s="59"/>
      <c r="F11" s="59"/>
      <c r="G11" s="28"/>
      <c r="H11" s="59" t="s">
        <v>318</v>
      </c>
      <c r="I11" s="670"/>
    </row>
    <row r="12" spans="1:9" ht="24">
      <c r="A12" s="373"/>
      <c r="B12" s="374" t="s">
        <v>669</v>
      </c>
      <c r="C12" s="75" t="s">
        <v>1758</v>
      </c>
      <c r="D12" s="58">
        <v>600</v>
      </c>
      <c r="E12" s="60">
        <f>ROUNDUP(19.5*D12,0)</f>
        <v>11700</v>
      </c>
      <c r="F12" s="60" t="s">
        <v>318</v>
      </c>
      <c r="G12" s="69"/>
      <c r="H12" s="60">
        <f t="shared" si="0"/>
        <v>11700</v>
      </c>
      <c r="I12" s="835"/>
    </row>
    <row r="13" spans="1:9" ht="39.75" customHeight="1">
      <c r="A13" s="375">
        <v>4</v>
      </c>
      <c r="B13" s="235" t="s">
        <v>981</v>
      </c>
      <c r="C13" s="78"/>
      <c r="D13" s="56"/>
      <c r="E13" s="61">
        <v>400</v>
      </c>
      <c r="F13" s="61" t="s">
        <v>318</v>
      </c>
      <c r="G13" s="69"/>
      <c r="H13" s="61">
        <f t="shared" si="0"/>
        <v>400</v>
      </c>
      <c r="I13" s="835"/>
    </row>
    <row r="14" spans="1:9" ht="16.5" customHeight="1">
      <c r="A14" s="376">
        <v>5</v>
      </c>
      <c r="B14" s="377" t="s">
        <v>1217</v>
      </c>
      <c r="C14" s="82"/>
      <c r="D14" s="57"/>
      <c r="E14" s="68"/>
      <c r="F14" s="68"/>
      <c r="G14" s="28"/>
      <c r="H14" s="59" t="s">
        <v>318</v>
      </c>
      <c r="I14" s="670"/>
    </row>
    <row r="15" spans="1:11" s="292" customFormat="1" ht="13.5" customHeight="1">
      <c r="A15" s="378"/>
      <c r="B15" s="167" t="s">
        <v>1263</v>
      </c>
      <c r="C15" s="460">
        <v>3</v>
      </c>
      <c r="D15" s="1174">
        <f>300*123.1%</f>
        <v>369</v>
      </c>
      <c r="E15" s="355">
        <f>(C15*D15)+(C15*D15*0.226)</f>
        <v>1357</v>
      </c>
      <c r="F15" s="355" t="s">
        <v>318</v>
      </c>
      <c r="G15" s="355"/>
      <c r="H15" s="60">
        <f t="shared" si="0"/>
        <v>1357</v>
      </c>
      <c r="I15" s="835"/>
      <c r="J15" s="164"/>
      <c r="K15"/>
    </row>
    <row r="16" spans="1:11" s="292" customFormat="1" ht="40.5" customHeight="1" thickBot="1">
      <c r="A16" s="672">
        <v>6</v>
      </c>
      <c r="B16" s="377" t="s">
        <v>982</v>
      </c>
      <c r="C16" s="461">
        <v>120</v>
      </c>
      <c r="D16" s="456">
        <v>40</v>
      </c>
      <c r="E16" s="457"/>
      <c r="F16" s="455">
        <f>C16*D16</f>
        <v>4800</v>
      </c>
      <c r="G16" s="677"/>
      <c r="H16" s="59">
        <f t="shared" si="0"/>
        <v>4800</v>
      </c>
      <c r="I16" s="835"/>
      <c r="J16" s="164"/>
      <c r="K16"/>
    </row>
    <row r="17" spans="1:10" s="64" customFormat="1" ht="12.75" thickBot="1">
      <c r="A17" s="381"/>
      <c r="B17" s="382" t="s">
        <v>1783</v>
      </c>
      <c r="C17" s="383"/>
      <c r="D17" s="148"/>
      <c r="E17" s="49">
        <f>ROUNDUP(SUM(E8:E16),0)</f>
        <v>17995</v>
      </c>
      <c r="F17" s="49">
        <f>ROUNDUP(SUM(F8:F16),0)</f>
        <v>4800</v>
      </c>
      <c r="G17" s="49">
        <f>ROUNDUP(SUM(G8:G16),0)</f>
        <v>0</v>
      </c>
      <c r="H17" s="49">
        <f>ROUNDUP(SUM(H8:H16),0)</f>
        <v>22795</v>
      </c>
      <c r="I17" s="50"/>
      <c r="J17" s="344">
        <f>SUM(E17:G17)</f>
        <v>22795</v>
      </c>
    </row>
    <row r="18" spans="1:11" s="164" customFormat="1" ht="84.75" thickBot="1">
      <c r="A18" s="378">
        <v>7</v>
      </c>
      <c r="B18" s="940" t="s">
        <v>106</v>
      </c>
      <c r="C18" s="476">
        <v>3</v>
      </c>
      <c r="D18" s="168">
        <v>2500</v>
      </c>
      <c r="E18" s="168"/>
      <c r="F18" s="169" t="s">
        <v>318</v>
      </c>
      <c r="G18" s="169">
        <f>D18*C18</f>
        <v>7500</v>
      </c>
      <c r="H18" s="59">
        <f t="shared" si="0"/>
        <v>7500</v>
      </c>
      <c r="I18" s="835"/>
      <c r="K18"/>
    </row>
    <row r="19" spans="1:9" ht="13.5" thickBot="1">
      <c r="A19" s="985"/>
      <c r="B19" s="986" t="s">
        <v>935</v>
      </c>
      <c r="C19" s="987"/>
      <c r="D19" s="988"/>
      <c r="E19" s="988">
        <f>SUM(E18)</f>
        <v>0</v>
      </c>
      <c r="F19" s="988">
        <f>SUM(F18)</f>
        <v>0</v>
      </c>
      <c r="G19" s="988">
        <f>SUM(G18)</f>
        <v>7500</v>
      </c>
      <c r="H19" s="988">
        <f>SUM(H18)</f>
        <v>7500</v>
      </c>
      <c r="I19" s="989"/>
    </row>
    <row r="20" spans="1:9" s="64" customFormat="1" ht="12">
      <c r="A20" s="851"/>
      <c r="B20" s="172" t="s">
        <v>1786</v>
      </c>
      <c r="C20" s="852"/>
      <c r="D20" s="853"/>
      <c r="E20" s="853"/>
      <c r="F20" s="854"/>
      <c r="G20" s="854"/>
      <c r="H20" s="854"/>
      <c r="I20" s="684"/>
    </row>
    <row r="21" spans="1:10" s="4" customFormat="1" ht="24.75" thickBot="1">
      <c r="A21" s="990">
        <v>1</v>
      </c>
      <c r="B21" s="252" t="s">
        <v>829</v>
      </c>
      <c r="C21" s="991">
        <v>400</v>
      </c>
      <c r="D21" s="990">
        <v>5</v>
      </c>
      <c r="E21" s="990"/>
      <c r="F21" s="990">
        <f>C21*D21</f>
        <v>2000</v>
      </c>
      <c r="G21" s="990"/>
      <c r="H21" s="990">
        <f>F21</f>
        <v>2000</v>
      </c>
      <c r="I21" s="990"/>
      <c r="J21" s="31"/>
    </row>
    <row r="22" spans="1:9" s="64" customFormat="1" ht="12.75" thickBot="1">
      <c r="A22" s="381"/>
      <c r="B22" s="382" t="s">
        <v>1783</v>
      </c>
      <c r="C22" s="383"/>
      <c r="D22" s="148"/>
      <c r="E22" s="99">
        <f>SUM(E21:E21)</f>
        <v>0</v>
      </c>
      <c r="F22" s="99">
        <f>SUM(F21:F21)</f>
        <v>2000</v>
      </c>
      <c r="G22" s="99">
        <f>SUM(G21:G21)</f>
        <v>0</v>
      </c>
      <c r="H22" s="99">
        <f>SUM(H21:H21)</f>
        <v>2000</v>
      </c>
      <c r="I22" s="50"/>
    </row>
    <row r="23" spans="1:9" s="64" customFormat="1" ht="12">
      <c r="A23" s="994"/>
      <c r="B23" s="420" t="s">
        <v>141</v>
      </c>
      <c r="C23" s="992"/>
      <c r="D23" s="384"/>
      <c r="E23" s="384"/>
      <c r="F23" s="385"/>
      <c r="G23" s="385"/>
      <c r="H23" s="385"/>
      <c r="I23" s="385"/>
    </row>
    <row r="24" spans="1:11" s="164" customFormat="1" ht="12.75">
      <c r="A24" s="166">
        <v>1</v>
      </c>
      <c r="B24" s="167" t="s">
        <v>1562</v>
      </c>
      <c r="C24" s="668"/>
      <c r="D24" s="169"/>
      <c r="E24" s="169"/>
      <c r="F24" s="169"/>
      <c r="G24" s="165"/>
      <c r="H24" s="59">
        <f t="shared" si="0"/>
        <v>0</v>
      </c>
      <c r="I24" s="670"/>
      <c r="K24"/>
    </row>
    <row r="25" spans="1:11" s="164" customFormat="1" ht="24">
      <c r="A25" s="166"/>
      <c r="B25" s="167" t="s">
        <v>1563</v>
      </c>
      <c r="C25" s="668"/>
      <c r="D25" s="169"/>
      <c r="E25" s="169">
        <v>7000</v>
      </c>
      <c r="F25" s="169"/>
      <c r="G25" s="165"/>
      <c r="H25" s="59">
        <f t="shared" si="0"/>
        <v>7000</v>
      </c>
      <c r="I25" s="670"/>
      <c r="K25"/>
    </row>
    <row r="26" spans="1:11" s="164" customFormat="1" ht="18.75" customHeight="1">
      <c r="A26" s="166"/>
      <c r="B26" s="167" t="s">
        <v>1564</v>
      </c>
      <c r="C26" s="668"/>
      <c r="D26" s="169"/>
      <c r="E26" s="169">
        <v>5000</v>
      </c>
      <c r="F26" s="169"/>
      <c r="G26" s="165"/>
      <c r="H26" s="59">
        <f t="shared" si="0"/>
        <v>5000</v>
      </c>
      <c r="I26" s="670"/>
      <c r="K26"/>
    </row>
    <row r="27" spans="1:11" s="164" customFormat="1" ht="12.75">
      <c r="A27" s="367"/>
      <c r="B27" s="374" t="s">
        <v>27</v>
      </c>
      <c r="C27" s="669"/>
      <c r="D27" s="354"/>
      <c r="E27" s="354">
        <v>500</v>
      </c>
      <c r="F27" s="354"/>
      <c r="G27" s="352"/>
      <c r="H27" s="939">
        <f t="shared" si="0"/>
        <v>500</v>
      </c>
      <c r="I27" s="671"/>
      <c r="K27"/>
    </row>
    <row r="28" spans="1:9" s="31" customFormat="1" ht="41.25" customHeight="1" thickBot="1">
      <c r="A28" s="993">
        <v>2</v>
      </c>
      <c r="B28" s="386" t="s">
        <v>870</v>
      </c>
      <c r="C28" s="380"/>
      <c r="D28" s="341"/>
      <c r="E28" s="341">
        <v>8000</v>
      </c>
      <c r="F28" s="341" t="s">
        <v>318</v>
      </c>
      <c r="G28" s="341"/>
      <c r="H28" s="60">
        <f>ROUNDUP(SUM(E28:G28),0)</f>
        <v>8000</v>
      </c>
      <c r="I28" s="468" t="s">
        <v>541</v>
      </c>
    </row>
    <row r="29" spans="1:9" s="64" customFormat="1" ht="12.75" thickBot="1">
      <c r="A29" s="381"/>
      <c r="B29" s="382" t="s">
        <v>1783</v>
      </c>
      <c r="C29" s="383"/>
      <c r="D29" s="148"/>
      <c r="E29" s="99">
        <f>SUM(E24:E28)</f>
        <v>20500</v>
      </c>
      <c r="F29" s="99">
        <f>SUM(F24:F28)</f>
        <v>0</v>
      </c>
      <c r="G29" s="99">
        <f>SUM(G24:G28)</f>
        <v>0</v>
      </c>
      <c r="H29" s="99">
        <f>SUM(H24:H28)</f>
        <v>20500</v>
      </c>
      <c r="I29" s="50"/>
    </row>
    <row r="30" spans="2:3" s="31" customFormat="1" ht="6.75" customHeight="1" thickBot="1">
      <c r="B30" s="340"/>
      <c r="C30" s="112"/>
    </row>
    <row r="31" spans="1:11" s="322" customFormat="1" ht="12" customHeight="1" thickBot="1">
      <c r="A31" s="150"/>
      <c r="B31" s="387" t="s">
        <v>1216</v>
      </c>
      <c r="C31" s="388"/>
      <c r="D31" s="312"/>
      <c r="E31" s="153">
        <f>SUM(E19,E29,E22)+E17*12</f>
        <v>236440</v>
      </c>
      <c r="F31" s="153">
        <f>SUM(F19,F29,F22)+F17*12</f>
        <v>59600</v>
      </c>
      <c r="G31" s="153">
        <f>SUM(G19,G29,G22)+G17*12</f>
        <v>7500</v>
      </c>
      <c r="H31" s="153">
        <f>SUM(H19,H29,H22)+H17*12</f>
        <v>303540</v>
      </c>
      <c r="I31" s="151"/>
      <c r="J31" s="850">
        <f>SUM(E31:G31)</f>
        <v>303540</v>
      </c>
      <c r="K31" s="63"/>
    </row>
    <row r="32" ht="8.25" customHeight="1"/>
    <row r="33" ht="18.75" customHeight="1">
      <c r="A33" s="31" t="s">
        <v>1685</v>
      </c>
    </row>
  </sheetData>
  <mergeCells count="4">
    <mergeCell ref="I5:I6"/>
    <mergeCell ref="A5:A6"/>
    <mergeCell ref="B5:B6"/>
    <mergeCell ref="C5:C6"/>
  </mergeCells>
  <printOptions/>
  <pageMargins left="0.984251968503937" right="0.3937007874015748" top="0.984251968503937" bottom="0.1968503937007874" header="0.5118110236220472" footer="0.1968503937007874"/>
  <pageSetup firstPageNumber="104" useFirstPageNumber="1" horizontalDpi="120" verticalDpi="120" orientation="landscape" paperSize="9" r:id="rId1"/>
  <rowBreaks count="1" manualBreakCount="1">
    <brk id="22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/>
  <dimension ref="A1:I30"/>
  <sheetViews>
    <sheetView view="pageBreakPreview" zoomScale="75" zoomScaleSheetLayoutView="75" workbookViewId="0" topLeftCell="A1">
      <selection activeCell="G26" sqref="G26:G27"/>
    </sheetView>
  </sheetViews>
  <sheetFormatPr defaultColWidth="9.00390625" defaultRowHeight="12.75"/>
  <cols>
    <col min="1" max="1" width="4.125" style="0" customWidth="1"/>
    <col min="2" max="2" width="41.375" style="0" customWidth="1"/>
    <col min="3" max="3" width="9.625" style="0" customWidth="1"/>
    <col min="4" max="6" width="9.75390625" style="0" customWidth="1"/>
    <col min="7" max="7" width="12.375" style="0" customWidth="1"/>
    <col min="8" max="8" width="10.75390625" style="0" customWidth="1"/>
    <col min="9" max="9" width="20.625" style="0" customWidth="1"/>
    <col min="11" max="11" width="15.25390625" style="0" customWidth="1"/>
  </cols>
  <sheetData>
    <row r="1" spans="2:8" ht="15">
      <c r="B1" s="6" t="s">
        <v>1535</v>
      </c>
      <c r="C1" s="1"/>
      <c r="D1" s="1"/>
      <c r="E1" s="1"/>
      <c r="F1" s="1"/>
      <c r="G1" s="1"/>
      <c r="H1" s="1"/>
    </row>
    <row r="2" spans="1:8" ht="15.75" thickBot="1">
      <c r="A2" s="856"/>
      <c r="B2" s="982"/>
      <c r="C2" s="856"/>
      <c r="D2" s="856"/>
      <c r="E2" s="856"/>
      <c r="F2" s="856"/>
      <c r="G2" s="856"/>
      <c r="H2" s="984" t="s">
        <v>122</v>
      </c>
    </row>
    <row r="3" spans="1:8" s="161" customFormat="1" ht="12.75" thickBot="1">
      <c r="A3" s="1865" t="s">
        <v>905</v>
      </c>
      <c r="B3" s="1971" t="s">
        <v>1413</v>
      </c>
      <c r="C3" s="366" t="s">
        <v>1414</v>
      </c>
      <c r="D3" s="296" t="s">
        <v>137</v>
      </c>
      <c r="E3" s="979" t="s">
        <v>1006</v>
      </c>
      <c r="F3" s="979" t="s">
        <v>1006</v>
      </c>
      <c r="G3" s="803" t="s">
        <v>265</v>
      </c>
      <c r="H3" s="296" t="s">
        <v>1415</v>
      </c>
    </row>
    <row r="4" spans="1:8" s="161" customFormat="1" ht="12.75" thickBot="1">
      <c r="A4" s="1866"/>
      <c r="B4" s="1962"/>
      <c r="C4" s="160" t="s">
        <v>369</v>
      </c>
      <c r="D4" s="156" t="s">
        <v>368</v>
      </c>
      <c r="E4" s="847">
        <v>290</v>
      </c>
      <c r="F4" s="855">
        <v>226</v>
      </c>
      <c r="G4" s="156" t="s">
        <v>120</v>
      </c>
      <c r="H4" s="156"/>
    </row>
    <row r="5" spans="1:8" s="161" customFormat="1" ht="12">
      <c r="A5" s="805"/>
      <c r="B5" s="804" t="s">
        <v>875</v>
      </c>
      <c r="C5" s="361"/>
      <c r="D5" s="361"/>
      <c r="E5" s="361">
        <f>SUM(E6:E12)</f>
        <v>58100</v>
      </c>
      <c r="F5" s="361">
        <f>SUM(F6:F14)</f>
        <v>66000</v>
      </c>
      <c r="G5" s="361"/>
      <c r="H5" s="366"/>
    </row>
    <row r="6" spans="1:8" s="31" customFormat="1" ht="12">
      <c r="A6" s="166">
        <v>1</v>
      </c>
      <c r="B6" s="236" t="s">
        <v>1442</v>
      </c>
      <c r="C6" s="59"/>
      <c r="D6" s="59"/>
      <c r="E6" s="59"/>
      <c r="F6" s="59"/>
      <c r="G6" s="59">
        <f>E8+F7</f>
        <v>80000</v>
      </c>
      <c r="H6" s="1972" t="s">
        <v>541</v>
      </c>
    </row>
    <row r="7" spans="1:8" s="31" customFormat="1" ht="12">
      <c r="A7" s="166"/>
      <c r="B7" s="28" t="s">
        <v>1799</v>
      </c>
      <c r="C7" s="87">
        <v>7500</v>
      </c>
      <c r="D7" s="59">
        <v>8</v>
      </c>
      <c r="E7" s="66"/>
      <c r="F7" s="66">
        <f>C7*D7</f>
        <v>60000</v>
      </c>
      <c r="G7" s="59"/>
      <c r="H7" s="1972"/>
    </row>
    <row r="8" spans="1:9" s="31" customFormat="1" ht="12">
      <c r="A8" s="367"/>
      <c r="B8" s="69" t="s">
        <v>1444</v>
      </c>
      <c r="C8" s="72">
        <v>400</v>
      </c>
      <c r="D8" s="60">
        <v>50</v>
      </c>
      <c r="E8" s="58">
        <f>C8*D8</f>
        <v>20000</v>
      </c>
      <c r="F8" s="58"/>
      <c r="G8" s="60"/>
      <c r="H8" s="1972"/>
      <c r="I8" s="288"/>
    </row>
    <row r="9" spans="1:8" s="31" customFormat="1" ht="12">
      <c r="A9" s="166">
        <v>2</v>
      </c>
      <c r="B9" s="242" t="s">
        <v>1398</v>
      </c>
      <c r="C9" s="87"/>
      <c r="D9" s="59"/>
      <c r="E9" s="66"/>
      <c r="F9" s="66"/>
      <c r="G9" s="59">
        <f>SUM(E9:E13)</f>
        <v>38100</v>
      </c>
      <c r="H9" s="1972"/>
    </row>
    <row r="10" spans="1:8" s="31" customFormat="1" ht="24">
      <c r="A10" s="166"/>
      <c r="B10" s="242" t="s">
        <v>1565</v>
      </c>
      <c r="C10" s="87">
        <v>45</v>
      </c>
      <c r="D10" s="59">
        <v>500</v>
      </c>
      <c r="E10" s="66">
        <f>C10*D10</f>
        <v>22500</v>
      </c>
      <c r="F10" s="66"/>
      <c r="G10" s="59"/>
      <c r="H10" s="1972"/>
    </row>
    <row r="11" spans="1:8" s="31" customFormat="1" ht="12">
      <c r="A11" s="166"/>
      <c r="B11" s="242" t="s">
        <v>1566</v>
      </c>
      <c r="C11" s="87">
        <v>6</v>
      </c>
      <c r="D11" s="59">
        <v>2000</v>
      </c>
      <c r="E11" s="66">
        <f>C11*D11</f>
        <v>12000</v>
      </c>
      <c r="F11" s="66"/>
      <c r="G11" s="59"/>
      <c r="H11" s="1972"/>
    </row>
    <row r="12" spans="1:8" s="31" customFormat="1" ht="12">
      <c r="A12" s="166"/>
      <c r="B12" s="242" t="s">
        <v>1567</v>
      </c>
      <c r="C12" s="87">
        <v>6</v>
      </c>
      <c r="D12" s="59">
        <v>600</v>
      </c>
      <c r="E12" s="66">
        <f>C12*D12</f>
        <v>3600</v>
      </c>
      <c r="F12" s="66"/>
      <c r="G12" s="59"/>
      <c r="H12" s="1972"/>
    </row>
    <row r="13" spans="1:9" s="31" customFormat="1" ht="12">
      <c r="A13" s="367"/>
      <c r="B13" s="261"/>
      <c r="C13" s="308"/>
      <c r="D13" s="60"/>
      <c r="E13" s="58"/>
      <c r="F13" s="58"/>
      <c r="G13" s="60"/>
      <c r="H13" s="1972"/>
      <c r="I13" s="288"/>
    </row>
    <row r="14" spans="1:9" s="31" customFormat="1" ht="24.75" customHeight="1">
      <c r="A14" s="231">
        <v>3</v>
      </c>
      <c r="B14" s="265" t="s">
        <v>1800</v>
      </c>
      <c r="C14" s="351"/>
      <c r="D14" s="61"/>
      <c r="E14" s="61" t="s">
        <v>318</v>
      </c>
      <c r="F14" s="61">
        <v>6000</v>
      </c>
      <c r="G14" s="61">
        <f>SUM(E14:F14)</f>
        <v>6000</v>
      </c>
      <c r="H14" s="1973"/>
      <c r="I14" s="63"/>
    </row>
    <row r="15" spans="1:8" s="31" customFormat="1" ht="12">
      <c r="A15" s="117"/>
      <c r="B15" s="368" t="s">
        <v>141</v>
      </c>
      <c r="C15" s="100"/>
      <c r="D15" s="59"/>
      <c r="E15" s="59"/>
      <c r="F15" s="59"/>
      <c r="G15" s="59"/>
      <c r="H15" s="118"/>
    </row>
    <row r="16" spans="1:9" s="31" customFormat="1" ht="12">
      <c r="A16" s="166">
        <v>1</v>
      </c>
      <c r="B16" s="236" t="s">
        <v>898</v>
      </c>
      <c r="C16" s="87"/>
      <c r="D16" s="59"/>
      <c r="E16" s="59"/>
      <c r="F16" s="59"/>
      <c r="G16" s="59">
        <f>SUM(E18:E22)</f>
        <v>68000</v>
      </c>
      <c r="H16" s="230" t="s">
        <v>541</v>
      </c>
      <c r="I16" s="63"/>
    </row>
    <row r="17" spans="1:9" s="31" customFormat="1" ht="12">
      <c r="A17" s="166"/>
      <c r="B17" s="236" t="s">
        <v>851</v>
      </c>
      <c r="C17" s="87"/>
      <c r="D17" s="59"/>
      <c r="E17" s="59"/>
      <c r="F17" s="59"/>
      <c r="G17" s="59"/>
      <c r="H17" s="230"/>
      <c r="I17" s="63"/>
    </row>
    <row r="18" spans="1:8" s="31" customFormat="1" ht="12">
      <c r="A18" s="166"/>
      <c r="B18" s="236" t="s">
        <v>899</v>
      </c>
      <c r="C18" s="87">
        <v>7</v>
      </c>
      <c r="D18" s="59">
        <v>2000</v>
      </c>
      <c r="E18" s="59">
        <f>ROUNDUP(C18*D18,0)</f>
        <v>14000</v>
      </c>
      <c r="F18" s="59"/>
      <c r="G18" s="59"/>
      <c r="H18" s="230"/>
    </row>
    <row r="19" spans="1:9" s="31" customFormat="1" ht="11.25" customHeight="1">
      <c r="A19" s="166"/>
      <c r="B19" s="236" t="s">
        <v>1443</v>
      </c>
      <c r="C19" s="87">
        <v>10</v>
      </c>
      <c r="D19" s="59">
        <v>2000</v>
      </c>
      <c r="E19" s="79">
        <f>ROUNDUP(C19*D19,0)</f>
        <v>20000</v>
      </c>
      <c r="F19" s="79"/>
      <c r="G19" s="59"/>
      <c r="H19" s="230"/>
      <c r="I19" s="288"/>
    </row>
    <row r="20" spans="1:9" s="31" customFormat="1" ht="17.25" customHeight="1">
      <c r="A20" s="166"/>
      <c r="B20" s="236" t="s">
        <v>552</v>
      </c>
      <c r="C20" s="87">
        <v>5</v>
      </c>
      <c r="D20" s="59">
        <v>2000</v>
      </c>
      <c r="E20" s="79">
        <f>ROUNDUP(C20*D20,0)</f>
        <v>10000</v>
      </c>
      <c r="F20" s="79"/>
      <c r="G20" s="59"/>
      <c r="H20" s="230"/>
      <c r="I20" s="63"/>
    </row>
    <row r="21" spans="1:9" s="31" customFormat="1" ht="14.25" customHeight="1">
      <c r="A21" s="166"/>
      <c r="B21" s="236" t="s">
        <v>1323</v>
      </c>
      <c r="C21" s="87">
        <v>5</v>
      </c>
      <c r="D21" s="59">
        <v>2000</v>
      </c>
      <c r="E21" s="59">
        <f>ROUNDUP(C21*D21,0)</f>
        <v>10000</v>
      </c>
      <c r="F21" s="59"/>
      <c r="G21" s="59"/>
      <c r="H21" s="230"/>
      <c r="I21" s="63"/>
    </row>
    <row r="22" spans="1:9" s="31" customFormat="1" ht="12.75" thickBot="1">
      <c r="A22" s="367"/>
      <c r="B22" s="238" t="s">
        <v>1324</v>
      </c>
      <c r="C22" s="275">
        <v>7</v>
      </c>
      <c r="D22" s="60">
        <v>2000</v>
      </c>
      <c r="E22" s="59">
        <f>ROUNDUP(C22*D22,0)</f>
        <v>14000</v>
      </c>
      <c r="F22" s="59"/>
      <c r="G22" s="60"/>
      <c r="H22" s="234"/>
      <c r="I22" s="63"/>
    </row>
    <row r="23" spans="1:9" s="64" customFormat="1" ht="12.75" thickBot="1">
      <c r="A23" s="147"/>
      <c r="B23" s="47" t="s">
        <v>1783</v>
      </c>
      <c r="C23" s="148"/>
      <c r="D23" s="148"/>
      <c r="E23" s="107"/>
      <c r="F23" s="47"/>
      <c r="G23" s="343">
        <f>ROUNDDOWN(SUM(G16),0)</f>
        <v>68000</v>
      </c>
      <c r="H23" s="149"/>
      <c r="I23" s="64" t="s">
        <v>318</v>
      </c>
    </row>
    <row r="24" spans="1:8" s="64" customFormat="1" ht="12.75" thickBot="1">
      <c r="A24" s="319"/>
      <c r="B24" s="319"/>
      <c r="C24" s="47"/>
      <c r="D24" s="47"/>
      <c r="E24" s="47"/>
      <c r="F24" s="47"/>
      <c r="G24" s="47"/>
      <c r="H24" s="319"/>
    </row>
    <row r="25" spans="1:9" s="289" customFormat="1" ht="17.25" customHeight="1" thickBot="1">
      <c r="A25" s="369"/>
      <c r="B25" s="109" t="s">
        <v>1216</v>
      </c>
      <c r="C25" s="370"/>
      <c r="D25" s="370"/>
      <c r="E25" s="370"/>
      <c r="F25" s="370"/>
      <c r="G25" s="371">
        <f>ROUNDUP(G6+G9+G14+G23,0)</f>
        <v>192100</v>
      </c>
      <c r="H25" s="151"/>
      <c r="I25" s="323" t="s">
        <v>318</v>
      </c>
    </row>
    <row r="26" spans="1:8" s="64" customFormat="1" ht="12">
      <c r="A26" s="319"/>
      <c r="B26" s="319"/>
      <c r="C26" s="319"/>
      <c r="D26" s="319"/>
      <c r="E26" s="319"/>
      <c r="F26" s="319"/>
      <c r="G26" s="319"/>
      <c r="H26" s="319"/>
    </row>
    <row r="27" spans="1:7" s="31" customFormat="1" ht="12">
      <c r="A27" s="31" t="s">
        <v>1554</v>
      </c>
      <c r="G27" s="1241"/>
    </row>
    <row r="30" ht="12.75">
      <c r="G30" s="14">
        <f>'7.1 инф'!H31+'7.2 грамот'!G25</f>
        <v>495640</v>
      </c>
    </row>
  </sheetData>
  <mergeCells count="3">
    <mergeCell ref="A3:A4"/>
    <mergeCell ref="B3:B4"/>
    <mergeCell ref="H6:H14"/>
  </mergeCells>
  <printOptions/>
  <pageMargins left="0.984251968503937" right="0.3937007874015748" top="0.984251968503937" bottom="0.3937007874015748" header="0.7086614173228347" footer="0.1968503937007874"/>
  <pageSetup firstPageNumber="105" useFirstPageNumber="1" horizontalDpi="120" verticalDpi="12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4"/>
  <dimension ref="A1:I11"/>
  <sheetViews>
    <sheetView view="pageBreakPreview" zoomScale="75" zoomScaleSheetLayoutView="75" workbookViewId="0" topLeftCell="A1">
      <selection activeCell="A11" sqref="A11"/>
    </sheetView>
  </sheetViews>
  <sheetFormatPr defaultColWidth="9.00390625" defaultRowHeight="12.75"/>
  <cols>
    <col min="2" max="2" width="6.875" style="0" customWidth="1"/>
    <col min="3" max="3" width="16.875" style="0" customWidth="1"/>
    <col min="4" max="7" width="16.625" style="0" customWidth="1"/>
    <col min="8" max="8" width="11.75390625" style="0" customWidth="1"/>
    <col min="9" max="9" width="10.375" style="0" customWidth="1"/>
  </cols>
  <sheetData>
    <row r="1" spans="1:3" ht="15">
      <c r="A1" s="15" t="s">
        <v>1537</v>
      </c>
      <c r="C1" s="6"/>
    </row>
    <row r="2" spans="2:9" s="7" customFormat="1" ht="18" customHeight="1" thickBot="1">
      <c r="B2" s="19"/>
      <c r="C2" s="19" t="s">
        <v>318</v>
      </c>
      <c r="D2" s="19"/>
      <c r="E2" s="19"/>
      <c r="F2" s="12"/>
      <c r="G2" s="12"/>
      <c r="H2" s="12"/>
      <c r="I2" s="31" t="s">
        <v>1553</v>
      </c>
    </row>
    <row r="3" spans="1:9" s="161" customFormat="1" ht="12.75" thickBot="1">
      <c r="A3" s="311"/>
      <c r="B3" s="389" t="s">
        <v>1006</v>
      </c>
      <c r="C3" s="389" t="s">
        <v>1006</v>
      </c>
      <c r="D3" s="155" t="s">
        <v>1006</v>
      </c>
      <c r="E3" s="155" t="s">
        <v>1006</v>
      </c>
      <c r="F3" s="155" t="s">
        <v>1006</v>
      </c>
      <c r="G3" s="155" t="s">
        <v>1006</v>
      </c>
      <c r="H3" s="291" t="s">
        <v>774</v>
      </c>
      <c r="I3" s="155" t="s">
        <v>68</v>
      </c>
    </row>
    <row r="4" spans="1:9" s="161" customFormat="1" ht="12.75" thickBot="1">
      <c r="A4" s="390"/>
      <c r="B4" s="390">
        <v>290</v>
      </c>
      <c r="C4" s="390">
        <v>340</v>
      </c>
      <c r="D4" s="296">
        <v>310</v>
      </c>
      <c r="E4" s="156">
        <v>225</v>
      </c>
      <c r="F4" s="156">
        <v>226</v>
      </c>
      <c r="G4" s="156">
        <v>221</v>
      </c>
      <c r="H4" s="157" t="s">
        <v>1555</v>
      </c>
      <c r="I4" s="296"/>
    </row>
    <row r="5" spans="1:9" s="392" customFormat="1" ht="25.5" customHeight="1" thickBot="1">
      <c r="A5" s="391" t="s">
        <v>935</v>
      </c>
      <c r="B5" s="479">
        <f>'Мат.техн.база '!M378</f>
        <v>4000</v>
      </c>
      <c r="C5" s="479">
        <f>'Мат.техн.база '!H378</f>
        <v>751476</v>
      </c>
      <c r="D5" s="480">
        <f>'Мат.техн.база '!I378</f>
        <v>652150</v>
      </c>
      <c r="E5" s="480">
        <f>'Мат.техн.база '!J378</f>
        <v>31000</v>
      </c>
      <c r="F5" s="480">
        <f>'Мат.техн.база '!K378</f>
        <v>1505</v>
      </c>
      <c r="G5" s="480">
        <f>'Мат.техн.база '!L378</f>
        <v>30000</v>
      </c>
      <c r="H5" s="480">
        <f>SUM(B5:G5)</f>
        <v>1470131</v>
      </c>
      <c r="I5" s="480" t="s">
        <v>541</v>
      </c>
    </row>
    <row r="6" s="31" customFormat="1" ht="12"/>
    <row r="7" s="31" customFormat="1" ht="12">
      <c r="B7" s="31" t="s">
        <v>756</v>
      </c>
    </row>
    <row r="8" s="31" customFormat="1" ht="12"/>
    <row r="9" s="31" customFormat="1" ht="12"/>
    <row r="10" s="31" customFormat="1" ht="12"/>
    <row r="11" ht="12.75">
      <c r="A11" s="31" t="s">
        <v>1686</v>
      </c>
    </row>
  </sheetData>
  <printOptions/>
  <pageMargins left="0.7874015748031497" right="0.3937007874015748" top="0.984251968503937" bottom="0.3937007874015748" header="0.7086614173228347" footer="0"/>
  <pageSetup firstPageNumber="106" useFirstPageNumber="1" horizontalDpi="120" verticalDpi="12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78"/>
  <sheetViews>
    <sheetView zoomScale="80" zoomScaleNormal="80" zoomScaleSheetLayoutView="75" workbookViewId="0" topLeftCell="A1">
      <pane ySplit="3" topLeftCell="BM184" activePane="bottomLeft" state="frozen"/>
      <selection pane="topLeft" activeCell="A1" sqref="A1"/>
      <selection pane="bottomLeft" activeCell="E189" sqref="E189"/>
    </sheetView>
  </sheetViews>
  <sheetFormatPr defaultColWidth="9.00390625" defaultRowHeight="12.75"/>
  <cols>
    <col min="1" max="1" width="9.75390625" style="893" customWidth="1"/>
    <col min="2" max="2" width="27.125" style="1293" customWidth="1"/>
    <col min="3" max="3" width="13.375" style="0" hidden="1" customWidth="1"/>
    <col min="4" max="4" width="9.75390625" style="0" customWidth="1"/>
    <col min="5" max="5" width="15.375" style="0" customWidth="1"/>
    <col min="6" max="6" width="7.00390625" style="0" customWidth="1"/>
    <col min="7" max="7" width="10.125" style="0" customWidth="1"/>
    <col min="8" max="8" width="14.875" style="0" customWidth="1"/>
    <col min="9" max="9" width="14.125" style="0" customWidth="1"/>
    <col min="10" max="10" width="7.625" style="0" customWidth="1"/>
    <col min="11" max="11" width="7.25390625" style="0" customWidth="1"/>
    <col min="12" max="13" width="8.00390625" style="0" customWidth="1"/>
  </cols>
  <sheetData>
    <row r="1" spans="1:12" ht="15">
      <c r="A1" s="837" t="s">
        <v>573</v>
      </c>
      <c r="B1" s="1292"/>
      <c r="C1" s="836"/>
      <c r="D1" s="836"/>
      <c r="E1" s="836"/>
      <c r="F1" s="836"/>
      <c r="G1" s="836"/>
      <c r="H1" s="836"/>
      <c r="I1" s="836"/>
      <c r="J1" s="836"/>
      <c r="K1" s="836"/>
      <c r="L1" s="836"/>
    </row>
    <row r="2" spans="1:12" ht="15">
      <c r="A2" s="837"/>
      <c r="B2" s="1292"/>
      <c r="C2" s="836"/>
      <c r="D2" s="836"/>
      <c r="E2" s="836"/>
      <c r="F2" s="836"/>
      <c r="G2" s="836"/>
      <c r="H2" s="836"/>
      <c r="I2" s="836"/>
      <c r="J2" s="836"/>
      <c r="K2" s="836"/>
      <c r="L2" s="836"/>
    </row>
    <row r="3" spans="8:13" ht="15">
      <c r="H3" s="442" t="s">
        <v>1143</v>
      </c>
      <c r="I3" s="442" t="s">
        <v>1144</v>
      </c>
      <c r="J3" s="11" t="s">
        <v>1145</v>
      </c>
      <c r="K3" s="11" t="s">
        <v>1146</v>
      </c>
      <c r="L3" s="11" t="s">
        <v>1147</v>
      </c>
      <c r="M3" s="11" t="s">
        <v>1148</v>
      </c>
    </row>
    <row r="4" spans="3:8" ht="12" customHeight="1">
      <c r="C4" s="393"/>
      <c r="D4" s="393"/>
      <c r="E4" s="393"/>
      <c r="F4" s="393"/>
      <c r="G4" s="393"/>
      <c r="H4" s="393"/>
    </row>
    <row r="5" spans="2:8" s="838" customFormat="1" ht="15.75">
      <c r="B5" s="1294"/>
      <c r="C5" s="1260"/>
      <c r="D5" s="1260"/>
      <c r="E5" s="1261" t="s">
        <v>510</v>
      </c>
      <c r="G5" s="1260"/>
      <c r="H5" s="1260"/>
    </row>
    <row r="6" spans="2:5" s="838" customFormat="1" ht="15.75">
      <c r="B6" s="1294"/>
      <c r="E6" s="1261" t="s">
        <v>415</v>
      </c>
    </row>
    <row r="7" spans="2:5" s="838" customFormat="1" ht="15.75">
      <c r="B7" s="1294"/>
      <c r="E7" s="1261" t="s">
        <v>351</v>
      </c>
    </row>
    <row r="8" spans="3:8" ht="15.75">
      <c r="C8" s="395"/>
      <c r="D8" s="393"/>
      <c r="E8" s="393" t="s">
        <v>955</v>
      </c>
      <c r="F8" s="393" t="s">
        <v>1004</v>
      </c>
      <c r="G8" s="393"/>
      <c r="H8" s="393"/>
    </row>
    <row r="9" spans="1:8" ht="15.75">
      <c r="A9" s="893">
        <v>1</v>
      </c>
      <c r="B9" s="1293" t="s">
        <v>1687</v>
      </c>
      <c r="C9" s="395"/>
      <c r="D9" s="393"/>
      <c r="E9" s="393">
        <v>20</v>
      </c>
      <c r="F9">
        <v>300</v>
      </c>
      <c r="G9" s="393"/>
      <c r="H9">
        <f>E9*F9</f>
        <v>6000</v>
      </c>
    </row>
    <row r="10" spans="1:8" ht="15.75">
      <c r="A10" s="893">
        <v>2</v>
      </c>
      <c r="B10" s="1293" t="s">
        <v>1688</v>
      </c>
      <c r="C10" s="395"/>
      <c r="D10" s="393"/>
      <c r="E10" s="393">
        <v>300</v>
      </c>
      <c r="F10">
        <v>5</v>
      </c>
      <c r="G10" s="393"/>
      <c r="H10">
        <f>E10*F10</f>
        <v>1500</v>
      </c>
    </row>
    <row r="11" spans="1:9" ht="15.75">
      <c r="A11" s="893">
        <v>3</v>
      </c>
      <c r="B11" s="1293" t="s">
        <v>1689</v>
      </c>
      <c r="C11" s="395"/>
      <c r="D11" s="393"/>
      <c r="E11" s="393">
        <v>10</v>
      </c>
      <c r="F11">
        <v>150</v>
      </c>
      <c r="G11" s="393"/>
      <c r="H11" s="393"/>
      <c r="I11">
        <f>E11*F11</f>
        <v>1500</v>
      </c>
    </row>
    <row r="12" spans="1:8" ht="15.75">
      <c r="A12" s="893">
        <v>4</v>
      </c>
      <c r="B12" s="1293" t="s">
        <v>192</v>
      </c>
      <c r="C12" s="395"/>
      <c r="D12" s="393"/>
      <c r="E12" s="393">
        <v>40</v>
      </c>
      <c r="F12">
        <v>900</v>
      </c>
      <c r="G12" s="393"/>
      <c r="H12">
        <f>E12*F12</f>
        <v>36000</v>
      </c>
    </row>
    <row r="13" spans="1:9" ht="15.75">
      <c r="A13" s="893">
        <v>5</v>
      </c>
      <c r="B13" s="1293" t="s">
        <v>1806</v>
      </c>
      <c r="C13" s="395"/>
      <c r="D13" s="393"/>
      <c r="E13" s="393">
        <v>10</v>
      </c>
      <c r="F13">
        <v>800</v>
      </c>
      <c r="G13" s="393"/>
      <c r="I13">
        <f>E13*F13</f>
        <v>8000</v>
      </c>
    </row>
    <row r="14" spans="1:9" ht="15.75">
      <c r="A14" s="893">
        <v>6</v>
      </c>
      <c r="B14" s="1293" t="s">
        <v>1215</v>
      </c>
      <c r="C14" s="395"/>
      <c r="D14" s="393"/>
      <c r="E14" s="393">
        <v>20</v>
      </c>
      <c r="F14">
        <v>600</v>
      </c>
      <c r="G14" s="393"/>
      <c r="I14">
        <f>E14*F14</f>
        <v>12000</v>
      </c>
    </row>
    <row r="15" spans="1:9" ht="15.75">
      <c r="A15" s="893">
        <v>7</v>
      </c>
      <c r="B15" s="1293" t="s">
        <v>1396</v>
      </c>
      <c r="C15" s="395"/>
      <c r="D15" s="393"/>
      <c r="E15" s="393">
        <v>20</v>
      </c>
      <c r="F15">
        <v>40</v>
      </c>
      <c r="G15" s="393"/>
      <c r="I15">
        <f>E15*F15</f>
        <v>800</v>
      </c>
    </row>
    <row r="16" spans="1:9" ht="15.75">
      <c r="A16" s="893">
        <v>8</v>
      </c>
      <c r="B16" s="1293" t="s">
        <v>198</v>
      </c>
      <c r="C16" s="395"/>
      <c r="D16" s="393"/>
      <c r="E16" s="393">
        <v>1</v>
      </c>
      <c r="F16">
        <v>10000</v>
      </c>
      <c r="G16" s="393"/>
      <c r="I16">
        <f>E16*F16</f>
        <v>10000</v>
      </c>
    </row>
    <row r="17" spans="1:8" ht="16.5" thickBot="1">
      <c r="A17" s="893">
        <v>9</v>
      </c>
      <c r="B17" s="1293" t="s">
        <v>1895</v>
      </c>
      <c r="C17" s="395"/>
      <c r="D17" s="393"/>
      <c r="E17" s="393">
        <v>100</v>
      </c>
      <c r="F17">
        <v>150</v>
      </c>
      <c r="G17" s="393"/>
      <c r="H17">
        <f>E17*F17</f>
        <v>15000</v>
      </c>
    </row>
    <row r="18" spans="3:9" ht="16.5" thickBot="1">
      <c r="C18" s="395"/>
      <c r="D18" s="393"/>
      <c r="E18" s="393"/>
      <c r="G18" s="393"/>
      <c r="H18" s="840">
        <f>SUM(H9:H17)</f>
        <v>58500</v>
      </c>
      <c r="I18" s="839">
        <f>SUM(I9:I15)</f>
        <v>22300</v>
      </c>
    </row>
    <row r="20" spans="1:8" ht="15.75">
      <c r="A20" s="397" t="s">
        <v>1286</v>
      </c>
      <c r="C20" s="395"/>
      <c r="D20" s="393"/>
      <c r="E20" s="393"/>
      <c r="G20" s="393"/>
      <c r="H20" s="393"/>
    </row>
    <row r="21" ht="15">
      <c r="A21" s="397" t="s">
        <v>1287</v>
      </c>
    </row>
    <row r="22" ht="15">
      <c r="A22" s="397" t="s">
        <v>816</v>
      </c>
    </row>
    <row r="23" ht="15">
      <c r="A23" s="397" t="s">
        <v>1505</v>
      </c>
    </row>
    <row r="24" ht="15">
      <c r="A24" s="397" t="s">
        <v>182</v>
      </c>
    </row>
    <row r="25" ht="15">
      <c r="A25" s="397" t="s">
        <v>183</v>
      </c>
    </row>
    <row r="27" spans="2:5" s="838" customFormat="1" ht="15.75">
      <c r="B27" s="1294"/>
      <c r="E27" s="1261" t="s">
        <v>510</v>
      </c>
    </row>
    <row r="28" spans="2:5" s="838" customFormat="1" ht="15.75">
      <c r="B28" s="1294"/>
      <c r="E28" s="1261" t="s">
        <v>352</v>
      </c>
    </row>
    <row r="29" spans="2:5" s="838" customFormat="1" ht="15.75">
      <c r="B29" s="1294"/>
      <c r="E29" s="1261" t="s">
        <v>511</v>
      </c>
    </row>
    <row r="30" ht="15.75">
      <c r="E30" s="396"/>
    </row>
    <row r="31" spans="1:8" ht="15">
      <c r="A31" s="893">
        <v>1</v>
      </c>
      <c r="B31" s="1293" t="s">
        <v>956</v>
      </c>
      <c r="C31" s="398"/>
      <c r="D31" s="393"/>
      <c r="E31" s="393" t="s">
        <v>1809</v>
      </c>
      <c r="F31" s="393"/>
      <c r="G31" s="393"/>
      <c r="H31">
        <f>20*1200</f>
        <v>24000</v>
      </c>
    </row>
    <row r="32" spans="1:8" ht="15">
      <c r="A32" s="893">
        <v>2</v>
      </c>
      <c r="B32" s="1293" t="s">
        <v>957</v>
      </c>
      <c r="C32" s="398"/>
      <c r="D32" s="393"/>
      <c r="E32" s="516" t="s">
        <v>17</v>
      </c>
      <c r="F32" s="393"/>
      <c r="G32" s="393"/>
      <c r="H32" s="393">
        <v>5000</v>
      </c>
    </row>
    <row r="33" spans="1:8" ht="15">
      <c r="A33" s="893">
        <v>3</v>
      </c>
      <c r="B33" s="1293" t="s">
        <v>958</v>
      </c>
      <c r="C33" s="398"/>
      <c r="D33" s="393"/>
      <c r="E33" s="393" t="s">
        <v>1694</v>
      </c>
      <c r="F33" s="393"/>
      <c r="G33" s="393"/>
      <c r="H33" s="393">
        <v>4800</v>
      </c>
    </row>
    <row r="34" spans="1:8" ht="15.75">
      <c r="A34" s="893">
        <v>4</v>
      </c>
      <c r="B34" s="1293" t="s">
        <v>959</v>
      </c>
      <c r="C34" s="395"/>
      <c r="D34" s="393"/>
      <c r="E34" s="393" t="s">
        <v>1694</v>
      </c>
      <c r="F34" s="393"/>
      <c r="G34" s="393"/>
      <c r="H34" s="393">
        <v>4800</v>
      </c>
    </row>
    <row r="35" spans="1:8" ht="15.75">
      <c r="A35" s="893">
        <v>5</v>
      </c>
      <c r="B35" s="1293" t="s">
        <v>960</v>
      </c>
      <c r="C35" s="395"/>
      <c r="D35" s="393"/>
      <c r="E35" s="393" t="s">
        <v>1694</v>
      </c>
      <c r="F35" s="393"/>
      <c r="G35" s="393"/>
      <c r="H35" s="393">
        <v>4800</v>
      </c>
    </row>
    <row r="36" spans="1:8" ht="15.75">
      <c r="A36" s="893">
        <v>6</v>
      </c>
      <c r="B36" s="1293" t="s">
        <v>192</v>
      </c>
      <c r="C36" s="395"/>
      <c r="D36" s="393"/>
      <c r="E36" s="393" t="s">
        <v>18</v>
      </c>
      <c r="F36" s="393"/>
      <c r="G36" s="393"/>
      <c r="H36" s="496">
        <v>3000</v>
      </c>
    </row>
    <row r="37" spans="1:8" ht="15.75">
      <c r="A37" s="893">
        <v>7</v>
      </c>
      <c r="B37" s="1293" t="s">
        <v>193</v>
      </c>
      <c r="C37" s="395"/>
      <c r="D37" s="393"/>
      <c r="E37" s="393" t="s">
        <v>18</v>
      </c>
      <c r="G37" s="393"/>
      <c r="H37" s="496">
        <v>3000</v>
      </c>
    </row>
    <row r="38" spans="1:8" ht="15.75">
      <c r="A38" s="893">
        <v>8</v>
      </c>
      <c r="B38" s="1293" t="s">
        <v>1609</v>
      </c>
      <c r="C38" s="395"/>
      <c r="D38" s="393"/>
      <c r="E38" s="393" t="s">
        <v>1538</v>
      </c>
      <c r="G38" s="393"/>
      <c r="H38" s="496">
        <v>40000</v>
      </c>
    </row>
    <row r="39" spans="1:8" ht="15.75">
      <c r="A39" s="893">
        <v>9</v>
      </c>
      <c r="B39" s="1293" t="s">
        <v>1346</v>
      </c>
      <c r="C39" s="395"/>
      <c r="E39" s="393" t="s">
        <v>19</v>
      </c>
      <c r="H39" s="496">
        <v>2000</v>
      </c>
    </row>
    <row r="40" spans="1:8" ht="15.75" thickBot="1">
      <c r="A40" s="893">
        <v>10</v>
      </c>
      <c r="B40" s="1293" t="s">
        <v>1347</v>
      </c>
      <c r="C40" s="393"/>
      <c r="D40" s="393"/>
      <c r="E40" s="393" t="s">
        <v>20</v>
      </c>
      <c r="G40" s="393"/>
      <c r="H40" s="1">
        <v>5500</v>
      </c>
    </row>
    <row r="41" spans="3:9" ht="15.75" thickBot="1">
      <c r="C41" s="393"/>
      <c r="D41" s="393"/>
      <c r="F41" s="393"/>
      <c r="G41" s="393"/>
      <c r="H41" s="840">
        <f>SUM(H31:H40)</f>
        <v>96900</v>
      </c>
      <c r="I41" s="839">
        <f>SUM(I39:I40)</f>
        <v>0</v>
      </c>
    </row>
    <row r="42" spans="4:7" ht="15">
      <c r="D42" s="393"/>
      <c r="E42" s="393"/>
      <c r="F42" s="393"/>
      <c r="G42" s="393"/>
    </row>
    <row r="43" spans="1:8" ht="15">
      <c r="A43" s="397" t="s">
        <v>40</v>
      </c>
      <c r="C43" s="397"/>
      <c r="D43" s="397"/>
      <c r="E43" s="397"/>
      <c r="F43" s="397"/>
      <c r="G43" s="397"/>
      <c r="H43" s="397"/>
    </row>
    <row r="44" spans="1:8" ht="15">
      <c r="A44" s="397" t="s">
        <v>493</v>
      </c>
      <c r="C44" s="397"/>
      <c r="D44" s="397"/>
      <c r="E44" s="397"/>
      <c r="F44" s="397"/>
      <c r="G44" s="397"/>
      <c r="H44" s="397"/>
    </row>
    <row r="45" spans="1:8" ht="15">
      <c r="A45" s="397" t="s">
        <v>961</v>
      </c>
      <c r="C45" s="397"/>
      <c r="D45" s="397"/>
      <c r="E45" s="397"/>
      <c r="F45" s="397"/>
      <c r="G45" s="397"/>
      <c r="H45" s="397"/>
    </row>
    <row r="46" spans="1:8" ht="15">
      <c r="A46" s="397" t="s">
        <v>1401</v>
      </c>
      <c r="C46" s="397"/>
      <c r="D46" s="397"/>
      <c r="E46" s="397"/>
      <c r="F46" s="397"/>
      <c r="G46" s="397"/>
      <c r="H46" s="397"/>
    </row>
    <row r="47" spans="1:8" ht="15">
      <c r="A47" s="397" t="s">
        <v>962</v>
      </c>
      <c r="C47" s="397"/>
      <c r="D47" s="397"/>
      <c r="E47" s="397"/>
      <c r="F47" s="397"/>
      <c r="G47" s="397"/>
      <c r="H47" s="397"/>
    </row>
    <row r="48" spans="1:8" ht="15">
      <c r="A48" s="397" t="s">
        <v>569</v>
      </c>
      <c r="C48" s="397"/>
      <c r="D48" s="397"/>
      <c r="E48" s="397"/>
      <c r="F48" s="397"/>
      <c r="G48" s="397"/>
      <c r="H48" s="397"/>
    </row>
    <row r="49" spans="1:8" ht="15">
      <c r="A49" s="397"/>
      <c r="C49" s="397"/>
      <c r="D49" s="397"/>
      <c r="E49" s="397"/>
      <c r="F49" s="397"/>
      <c r="G49" s="397"/>
      <c r="H49" s="397"/>
    </row>
    <row r="50" spans="1:8" s="838" customFormat="1" ht="15.75">
      <c r="A50" s="1262"/>
      <c r="B50" s="1294"/>
      <c r="C50" s="1262"/>
      <c r="D50" s="1262"/>
      <c r="E50" s="1261" t="s">
        <v>510</v>
      </c>
      <c r="F50" s="1262"/>
      <c r="G50" s="1262"/>
      <c r="H50" s="1262"/>
    </row>
    <row r="51" spans="1:8" s="838" customFormat="1" ht="15.75">
      <c r="A51" s="1262"/>
      <c r="B51" s="1294"/>
      <c r="C51" s="1262"/>
      <c r="D51" s="1262"/>
      <c r="E51" s="1261" t="s">
        <v>1348</v>
      </c>
      <c r="F51" s="1262"/>
      <c r="G51" s="1262"/>
      <c r="H51" s="1262"/>
    </row>
    <row r="52" spans="1:8" ht="15">
      <c r="A52" s="397"/>
      <c r="C52" s="397"/>
      <c r="D52" s="397"/>
      <c r="E52" s="393" t="s">
        <v>1005</v>
      </c>
      <c r="F52" s="393" t="s">
        <v>1004</v>
      </c>
      <c r="G52" s="397"/>
      <c r="H52" s="397"/>
    </row>
    <row r="53" spans="1:8" ht="15">
      <c r="A53" s="893">
        <v>1</v>
      </c>
      <c r="B53" s="1293" t="s">
        <v>1349</v>
      </c>
      <c r="C53" s="393"/>
      <c r="D53" s="393"/>
      <c r="E53" s="393">
        <v>8</v>
      </c>
      <c r="F53" s="393">
        <v>300</v>
      </c>
      <c r="G53" s="393"/>
      <c r="H53">
        <f>E53*F53</f>
        <v>2400</v>
      </c>
    </row>
    <row r="54" spans="1:8" ht="15">
      <c r="A54" s="893">
        <v>2</v>
      </c>
      <c r="B54" s="1293" t="s">
        <v>288</v>
      </c>
      <c r="C54" s="393"/>
      <c r="D54" s="393"/>
      <c r="E54" s="393">
        <v>40</v>
      </c>
      <c r="F54" s="393">
        <v>6</v>
      </c>
      <c r="G54" s="393"/>
      <c r="H54">
        <f>E54*F54</f>
        <v>240</v>
      </c>
    </row>
    <row r="55" spans="1:9" ht="15">
      <c r="A55" s="893">
        <v>3</v>
      </c>
      <c r="B55" s="1293" t="s">
        <v>1215</v>
      </c>
      <c r="C55" s="393"/>
      <c r="D55" s="393"/>
      <c r="E55" s="393">
        <v>5</v>
      </c>
      <c r="F55" s="393">
        <v>600</v>
      </c>
      <c r="G55" s="393"/>
      <c r="I55" s="393">
        <f>E55*F55</f>
        <v>3000</v>
      </c>
    </row>
    <row r="56" spans="1:8" ht="15">
      <c r="A56" s="893">
        <v>4</v>
      </c>
      <c r="B56" s="1293" t="s">
        <v>192</v>
      </c>
      <c r="C56" s="393"/>
      <c r="D56" s="393"/>
      <c r="E56" s="393">
        <v>4</v>
      </c>
      <c r="F56" s="393">
        <v>900</v>
      </c>
      <c r="G56" s="393"/>
      <c r="H56">
        <f>E56*F56</f>
        <v>3600</v>
      </c>
    </row>
    <row r="57" spans="1:8" ht="15">
      <c r="A57" s="893">
        <v>5</v>
      </c>
      <c r="B57" s="1293" t="s">
        <v>193</v>
      </c>
      <c r="C57" s="393"/>
      <c r="D57" s="393"/>
      <c r="E57" s="393">
        <v>4</v>
      </c>
      <c r="F57" s="393">
        <v>1000</v>
      </c>
      <c r="G57" s="393"/>
      <c r="H57">
        <f>E57*F57</f>
        <v>4000</v>
      </c>
    </row>
    <row r="58" spans="1:8" ht="15">
      <c r="A58" s="893">
        <v>6</v>
      </c>
      <c r="B58" s="1293" t="s">
        <v>574</v>
      </c>
      <c r="C58" s="393"/>
      <c r="D58" s="393"/>
      <c r="E58" s="393">
        <v>8</v>
      </c>
      <c r="F58" s="393">
        <v>650</v>
      </c>
      <c r="G58" s="393"/>
      <c r="H58">
        <f>E58*F58</f>
        <v>5200</v>
      </c>
    </row>
    <row r="59" spans="1:9" ht="15.75" thickBot="1">
      <c r="A59" s="893">
        <v>7</v>
      </c>
      <c r="B59" s="1293" t="s">
        <v>1396</v>
      </c>
      <c r="C59" s="393"/>
      <c r="D59" s="393"/>
      <c r="E59" s="393">
        <v>5</v>
      </c>
      <c r="F59" s="393">
        <v>50</v>
      </c>
      <c r="G59" s="393"/>
      <c r="H59" s="496"/>
      <c r="I59" s="393">
        <f>E59*F59</f>
        <v>250</v>
      </c>
    </row>
    <row r="60" spans="3:9" ht="15.75" thickBot="1">
      <c r="C60" s="393"/>
      <c r="D60" s="393"/>
      <c r="E60" s="393"/>
      <c r="F60" s="393"/>
      <c r="G60" s="393"/>
      <c r="H60" s="841">
        <f>SUM(H53:H59)</f>
        <v>15440</v>
      </c>
      <c r="I60" s="839">
        <f>SUM(I53:I59)</f>
        <v>3250</v>
      </c>
    </row>
    <row r="61" spans="3:9" ht="15">
      <c r="C61" s="393"/>
      <c r="D61" s="393"/>
      <c r="E61" s="393"/>
      <c r="F61" s="393"/>
      <c r="G61" s="393"/>
      <c r="H61" s="12"/>
      <c r="I61" s="399"/>
    </row>
    <row r="62" spans="1:8" ht="15">
      <c r="A62" s="397" t="s">
        <v>1526</v>
      </c>
      <c r="C62" s="393"/>
      <c r="D62" s="393"/>
      <c r="E62" s="393"/>
      <c r="F62" s="393"/>
      <c r="G62" s="393"/>
      <c r="H62" s="393"/>
    </row>
    <row r="63" spans="1:8" ht="15">
      <c r="A63" s="397" t="s">
        <v>963</v>
      </c>
      <c r="C63" s="393"/>
      <c r="D63" s="393"/>
      <c r="E63" s="393"/>
      <c r="F63" s="393"/>
      <c r="G63" s="393"/>
      <c r="H63" s="393"/>
    </row>
    <row r="64" spans="1:8" ht="15">
      <c r="A64" s="397" t="s">
        <v>964</v>
      </c>
      <c r="C64" s="393"/>
      <c r="D64" s="393"/>
      <c r="E64" s="393"/>
      <c r="F64" s="393"/>
      <c r="G64" s="393"/>
      <c r="H64" s="393"/>
    </row>
    <row r="65" spans="1:8" ht="15">
      <c r="A65" s="397"/>
      <c r="C65" s="393"/>
      <c r="D65" s="393"/>
      <c r="E65" s="393"/>
      <c r="F65" s="393"/>
      <c r="G65" s="393"/>
      <c r="H65" s="393"/>
    </row>
    <row r="66" spans="1:5" s="838" customFormat="1" ht="15.75">
      <c r="A66" s="1262"/>
      <c r="B66" s="1294"/>
      <c r="E66" s="1261" t="s">
        <v>510</v>
      </c>
    </row>
    <row r="67" spans="1:5" s="838" customFormat="1" ht="15.75">
      <c r="A67" s="1262"/>
      <c r="B67" s="1294"/>
      <c r="E67" s="1261" t="s">
        <v>157</v>
      </c>
    </row>
    <row r="68" spans="1:8" ht="15">
      <c r="A68" s="397"/>
      <c r="C68" s="393"/>
      <c r="D68" s="393"/>
      <c r="E68" s="393" t="s">
        <v>1005</v>
      </c>
      <c r="F68" s="393" t="s">
        <v>1004</v>
      </c>
      <c r="G68" s="393"/>
      <c r="H68" s="393"/>
    </row>
    <row r="69" spans="1:8" ht="15">
      <c r="A69" s="893">
        <v>1</v>
      </c>
      <c r="B69" s="1293" t="s">
        <v>192</v>
      </c>
      <c r="C69" s="393"/>
      <c r="D69" s="393"/>
      <c r="E69" s="393">
        <v>2</v>
      </c>
      <c r="F69" s="393">
        <v>900</v>
      </c>
      <c r="G69" s="393"/>
      <c r="H69" s="393">
        <f>E69*F69</f>
        <v>1800</v>
      </c>
    </row>
    <row r="70" spans="1:8" ht="15">
      <c r="A70" s="893">
        <v>2</v>
      </c>
      <c r="B70" s="1293" t="s">
        <v>1343</v>
      </c>
      <c r="C70" s="393"/>
      <c r="D70" s="393"/>
      <c r="E70" s="393">
        <v>2</v>
      </c>
      <c r="F70" s="393">
        <v>1200</v>
      </c>
      <c r="G70" s="393"/>
      <c r="H70" s="393">
        <f>E70*F70</f>
        <v>2400</v>
      </c>
    </row>
    <row r="71" spans="1:8" ht="15.75" thickBot="1">
      <c r="A71" s="893">
        <v>3</v>
      </c>
      <c r="B71" s="1293" t="s">
        <v>193</v>
      </c>
      <c r="C71" s="393"/>
      <c r="D71" s="393"/>
      <c r="E71" s="393">
        <v>2</v>
      </c>
      <c r="F71" s="393">
        <v>900</v>
      </c>
      <c r="G71" s="393"/>
      <c r="H71" s="393">
        <f>E71*F71</f>
        <v>1800</v>
      </c>
    </row>
    <row r="72" spans="1:9" ht="15.75" thickBot="1">
      <c r="A72" s="397"/>
      <c r="C72" s="393"/>
      <c r="D72" s="393"/>
      <c r="E72" s="393"/>
      <c r="F72" s="393"/>
      <c r="G72" s="393"/>
      <c r="H72" s="841">
        <f>SUM(H69:H71)</f>
        <v>6000</v>
      </c>
      <c r="I72" s="839">
        <f>SUM(I69:I71)</f>
        <v>0</v>
      </c>
    </row>
    <row r="73" spans="1:9" ht="15">
      <c r="A73" s="397"/>
      <c r="C73" s="393"/>
      <c r="D73" s="393"/>
      <c r="E73" s="393"/>
      <c r="F73" s="393"/>
      <c r="G73" s="393"/>
      <c r="H73" s="393"/>
      <c r="I73" s="398"/>
    </row>
    <row r="74" spans="1:8" ht="15">
      <c r="A74" s="397" t="s">
        <v>184</v>
      </c>
      <c r="C74" s="393"/>
      <c r="D74" s="393"/>
      <c r="E74" s="393"/>
      <c r="F74" s="393"/>
      <c r="G74" s="393"/>
      <c r="H74" s="393"/>
    </row>
    <row r="75" spans="1:8" ht="15">
      <c r="A75" s="397" t="s">
        <v>185</v>
      </c>
      <c r="C75" s="393"/>
      <c r="D75" s="393"/>
      <c r="E75" s="393"/>
      <c r="F75" s="393"/>
      <c r="G75" s="393"/>
      <c r="H75" s="393"/>
    </row>
    <row r="76" spans="1:8" ht="15">
      <c r="A76" s="397" t="s">
        <v>186</v>
      </c>
      <c r="C76" s="393"/>
      <c r="D76" s="393"/>
      <c r="E76" s="393"/>
      <c r="F76" s="393"/>
      <c r="G76" s="393"/>
      <c r="H76" s="393"/>
    </row>
    <row r="77" spans="1:8" ht="15">
      <c r="A77" s="397" t="s">
        <v>187</v>
      </c>
      <c r="C77" s="393"/>
      <c r="D77" s="393"/>
      <c r="E77" s="393"/>
      <c r="F77" s="393"/>
      <c r="G77" s="393"/>
      <c r="H77" s="393"/>
    </row>
    <row r="78" spans="1:8" ht="15">
      <c r="A78" s="397"/>
      <c r="C78" s="393"/>
      <c r="D78" s="393"/>
      <c r="E78" s="393"/>
      <c r="F78" s="393"/>
      <c r="G78" s="393"/>
      <c r="H78" s="393"/>
    </row>
    <row r="79" spans="1:5" s="838" customFormat="1" ht="15.75">
      <c r="A79" s="1262"/>
      <c r="B79" s="1294"/>
      <c r="E79" s="1261" t="s">
        <v>510</v>
      </c>
    </row>
    <row r="80" spans="1:5" s="838" customFormat="1" ht="15.75">
      <c r="A80" s="1262"/>
      <c r="B80" s="1294"/>
      <c r="E80" s="1261" t="s">
        <v>352</v>
      </c>
    </row>
    <row r="81" spans="1:5" s="838" customFormat="1" ht="15.75">
      <c r="A81" s="1262"/>
      <c r="B81" s="1294"/>
      <c r="E81" s="1261" t="s">
        <v>812</v>
      </c>
    </row>
    <row r="82" spans="1:8" ht="15">
      <c r="A82" s="397"/>
      <c r="C82" s="393"/>
      <c r="D82" s="393"/>
      <c r="E82" s="393" t="s">
        <v>1005</v>
      </c>
      <c r="F82" s="393" t="s">
        <v>1004</v>
      </c>
      <c r="G82" s="393"/>
      <c r="H82" s="393"/>
    </row>
    <row r="83" spans="1:8" ht="15.75">
      <c r="A83" s="893">
        <v>1</v>
      </c>
      <c r="B83" s="1293" t="s">
        <v>575</v>
      </c>
      <c r="C83" s="395"/>
      <c r="D83" s="393"/>
      <c r="E83" s="393">
        <v>10</v>
      </c>
      <c r="F83" s="393">
        <v>650</v>
      </c>
      <c r="G83" s="393"/>
      <c r="H83" s="393">
        <f>E83*F83</f>
        <v>6500</v>
      </c>
    </row>
    <row r="84" spans="2:8" ht="15.75">
      <c r="B84" s="1293" t="s">
        <v>576</v>
      </c>
      <c r="C84" s="395"/>
      <c r="D84" s="393"/>
      <c r="E84" s="1270">
        <v>10</v>
      </c>
      <c r="F84" s="393">
        <v>1000</v>
      </c>
      <c r="G84" s="393"/>
      <c r="H84" s="393">
        <f>E84*F84</f>
        <v>10000</v>
      </c>
    </row>
    <row r="85" spans="2:8" ht="16.5" thickBot="1">
      <c r="B85" s="1293" t="s">
        <v>577</v>
      </c>
      <c r="C85" s="395"/>
      <c r="D85" s="393"/>
      <c r="E85" s="1270">
        <v>1</v>
      </c>
      <c r="F85" s="393">
        <v>2000</v>
      </c>
      <c r="G85" s="393"/>
      <c r="H85" s="393">
        <f>E85*F85</f>
        <v>2000</v>
      </c>
    </row>
    <row r="86" spans="3:9" ht="16.5" thickBot="1">
      <c r="C86" s="395"/>
      <c r="D86" s="393"/>
      <c r="E86" s="842"/>
      <c r="F86" s="393"/>
      <c r="G86" s="393"/>
      <c r="H86" s="840">
        <f>SUM(H83:H85)</f>
        <v>18500</v>
      </c>
      <c r="I86" s="839">
        <f>SUM(I83:I85)</f>
        <v>0</v>
      </c>
    </row>
    <row r="87" spans="1:8" ht="15.75">
      <c r="A87" s="893">
        <v>2</v>
      </c>
      <c r="B87" s="1293" t="s">
        <v>353</v>
      </c>
      <c r="C87" s="395"/>
      <c r="D87" s="393"/>
      <c r="E87" s="393">
        <v>10</v>
      </c>
      <c r="F87" s="393">
        <v>650</v>
      </c>
      <c r="G87" s="393"/>
      <c r="H87" s="393">
        <f>E87*F87</f>
        <v>6500</v>
      </c>
    </row>
    <row r="88" spans="2:8" ht="15.75">
      <c r="B88" s="1293" t="s">
        <v>578</v>
      </c>
      <c r="C88" s="395"/>
      <c r="D88" s="393"/>
      <c r="E88" s="1270">
        <v>10</v>
      </c>
      <c r="F88" s="393">
        <v>2500</v>
      </c>
      <c r="G88" s="393"/>
      <c r="H88" s="393">
        <f>E88*F88</f>
        <v>25000</v>
      </c>
    </row>
    <row r="89" spans="2:8" ht="16.5" thickBot="1">
      <c r="B89" s="1293" t="s">
        <v>579</v>
      </c>
      <c r="C89" s="395"/>
      <c r="D89" s="393"/>
      <c r="E89" s="1270">
        <v>3</v>
      </c>
      <c r="F89" s="393">
        <v>1500</v>
      </c>
      <c r="G89" s="393"/>
      <c r="H89" s="393">
        <f>E89*F89</f>
        <v>4500</v>
      </c>
    </row>
    <row r="90" spans="3:9" ht="16.5" thickBot="1">
      <c r="C90" s="395"/>
      <c r="D90" s="393"/>
      <c r="E90" s="842"/>
      <c r="F90" s="393"/>
      <c r="G90" s="393"/>
      <c r="H90" s="840">
        <f>SUM(H87:H89)</f>
        <v>36000</v>
      </c>
      <c r="I90" s="839">
        <f>SUM(I87:I89)</f>
        <v>0</v>
      </c>
    </row>
    <row r="91" spans="1:8" ht="15.75">
      <c r="A91" s="893">
        <v>3</v>
      </c>
      <c r="B91" s="1293" t="s">
        <v>1342</v>
      </c>
      <c r="C91" s="395"/>
      <c r="D91" s="393"/>
      <c r="E91" s="393">
        <v>20</v>
      </c>
      <c r="F91" s="393">
        <v>650</v>
      </c>
      <c r="G91" s="393"/>
      <c r="H91" s="393">
        <f>E91*F91</f>
        <v>13000</v>
      </c>
    </row>
    <row r="92" spans="2:8" ht="15.75">
      <c r="B92" s="1293" t="s">
        <v>580</v>
      </c>
      <c r="C92" s="395"/>
      <c r="D92" s="393"/>
      <c r="E92" s="1270">
        <v>10</v>
      </c>
      <c r="F92" s="393">
        <v>500</v>
      </c>
      <c r="G92" s="393"/>
      <c r="H92" s="393">
        <f>E92*F92</f>
        <v>5000</v>
      </c>
    </row>
    <row r="93" spans="2:8" ht="16.5" thickBot="1">
      <c r="B93" s="1293" t="s">
        <v>581</v>
      </c>
      <c r="C93" s="395"/>
      <c r="D93" s="393"/>
      <c r="E93" s="1270">
        <v>2</v>
      </c>
      <c r="F93" s="393">
        <v>1000</v>
      </c>
      <c r="G93" s="393"/>
      <c r="H93" s="393">
        <f>E93*F93</f>
        <v>2000</v>
      </c>
    </row>
    <row r="94" spans="3:9" ht="16.5" thickBot="1">
      <c r="C94" s="395"/>
      <c r="D94" s="393"/>
      <c r="E94" s="842"/>
      <c r="F94" s="393"/>
      <c r="G94" s="393"/>
      <c r="H94" s="840">
        <f>SUM(H91:H93)</f>
        <v>20000</v>
      </c>
      <c r="I94" s="839">
        <f>SUM(I91:I93)</f>
        <v>0</v>
      </c>
    </row>
    <row r="95" spans="1:9" ht="15.75">
      <c r="A95" s="893">
        <v>4</v>
      </c>
      <c r="B95" s="1293" t="s">
        <v>582</v>
      </c>
      <c r="C95" s="395"/>
      <c r="D95" s="393"/>
      <c r="E95" s="842" t="s">
        <v>1690</v>
      </c>
      <c r="F95" s="393"/>
      <c r="G95" s="393"/>
      <c r="H95" s="393"/>
      <c r="I95">
        <v>14000</v>
      </c>
    </row>
    <row r="96" spans="2:8" ht="15.75">
      <c r="B96" s="1293" t="s">
        <v>1345</v>
      </c>
      <c r="C96" s="395"/>
      <c r="D96" s="393"/>
      <c r="E96" s="842" t="s">
        <v>1691</v>
      </c>
      <c r="F96" s="393"/>
      <c r="G96" s="393"/>
      <c r="H96" s="393">
        <v>8000</v>
      </c>
    </row>
    <row r="97" spans="2:9" ht="15.75">
      <c r="B97" s="1293" t="s">
        <v>1344</v>
      </c>
      <c r="C97" s="395"/>
      <c r="D97" s="393"/>
      <c r="E97" s="842" t="s">
        <v>1692</v>
      </c>
      <c r="F97" s="393"/>
      <c r="G97" s="393"/>
      <c r="H97" s="393"/>
      <c r="I97">
        <v>5000</v>
      </c>
    </row>
    <row r="98" spans="2:8" ht="15.75">
      <c r="B98" s="1293" t="s">
        <v>583</v>
      </c>
      <c r="C98" s="395"/>
      <c r="D98" s="393"/>
      <c r="E98" s="842" t="s">
        <v>1693</v>
      </c>
      <c r="F98" s="393"/>
      <c r="G98" s="393"/>
      <c r="H98" s="393">
        <v>6000</v>
      </c>
    </row>
    <row r="99" spans="2:8" ht="15.75">
      <c r="B99" s="1293" t="s">
        <v>584</v>
      </c>
      <c r="C99" s="395"/>
      <c r="D99" s="393"/>
      <c r="E99" s="842"/>
      <c r="F99" s="393"/>
      <c r="G99" s="393"/>
      <c r="H99" s="393">
        <v>2000</v>
      </c>
    </row>
    <row r="100" spans="2:8" ht="15.75">
      <c r="B100" s="1293" t="s">
        <v>585</v>
      </c>
      <c r="C100" s="395"/>
      <c r="D100" s="393"/>
      <c r="E100" s="842"/>
      <c r="F100" s="393"/>
      <c r="G100" s="393"/>
      <c r="H100" s="393">
        <v>5000</v>
      </c>
    </row>
    <row r="101" spans="2:8" ht="16.5" thickBot="1">
      <c r="B101" s="1293" t="s">
        <v>586</v>
      </c>
      <c r="C101" s="395"/>
      <c r="D101" s="393"/>
      <c r="E101" s="842"/>
      <c r="F101" s="393"/>
      <c r="G101" s="393"/>
      <c r="H101" s="393">
        <v>5000</v>
      </c>
    </row>
    <row r="102" spans="3:9" ht="16.5" thickBot="1">
      <c r="C102" s="395"/>
      <c r="D102" s="393"/>
      <c r="E102" s="842"/>
      <c r="F102" s="393"/>
      <c r="G102" s="393"/>
      <c r="H102" s="840">
        <f>SUM(H95:H101)</f>
        <v>26000</v>
      </c>
      <c r="I102" s="839">
        <f>SUM(I95:I101)</f>
        <v>19000</v>
      </c>
    </row>
    <row r="103" spans="1:8" ht="15.75">
      <c r="A103" s="893">
        <v>5</v>
      </c>
      <c r="B103" s="1293" t="s">
        <v>587</v>
      </c>
      <c r="C103" s="395"/>
      <c r="D103" s="393"/>
      <c r="E103" s="393">
        <v>30</v>
      </c>
      <c r="F103">
        <v>5</v>
      </c>
      <c r="G103" s="393"/>
      <c r="H103">
        <f>E103*F103</f>
        <v>150</v>
      </c>
    </row>
    <row r="104" spans="2:8" ht="15.75">
      <c r="B104" s="1293" t="s">
        <v>814</v>
      </c>
      <c r="C104" s="395"/>
      <c r="D104" s="393"/>
      <c r="E104" s="393">
        <v>7</v>
      </c>
      <c r="F104">
        <v>150</v>
      </c>
      <c r="G104" s="393"/>
      <c r="H104">
        <f>E104*F104</f>
        <v>1050</v>
      </c>
    </row>
    <row r="105" spans="2:8" ht="16.5" thickBot="1">
      <c r="B105" s="1293" t="s">
        <v>1233</v>
      </c>
      <c r="C105" s="395"/>
      <c r="D105" s="393"/>
      <c r="E105" s="393" t="s">
        <v>588</v>
      </c>
      <c r="G105" s="393"/>
      <c r="H105" s="393">
        <f>7*500</f>
        <v>3500</v>
      </c>
    </row>
    <row r="106" spans="3:9" ht="16.5" thickBot="1">
      <c r="C106" s="395"/>
      <c r="D106" s="393"/>
      <c r="E106" s="393"/>
      <c r="G106" s="393"/>
      <c r="H106" s="840">
        <f>SUM(H103:H105)</f>
        <v>4700</v>
      </c>
      <c r="I106" s="839">
        <f>SUM(I103:I105)</f>
        <v>0</v>
      </c>
    </row>
    <row r="107" spans="1:8" ht="15.75">
      <c r="A107" s="893">
        <v>6</v>
      </c>
      <c r="B107" s="1293" t="s">
        <v>1234</v>
      </c>
      <c r="C107" s="395"/>
      <c r="D107" s="393"/>
      <c r="E107" s="393" t="s">
        <v>589</v>
      </c>
      <c r="G107" s="393"/>
      <c r="H107" s="393">
        <f>4*500</f>
        <v>2000</v>
      </c>
    </row>
    <row r="108" spans="2:8" ht="16.5" thickBot="1">
      <c r="B108" s="1293" t="s">
        <v>590</v>
      </c>
      <c r="C108" s="395"/>
      <c r="D108" s="393"/>
      <c r="E108" s="393" t="s">
        <v>13</v>
      </c>
      <c r="G108" s="393"/>
      <c r="H108" s="393">
        <f>2*1000</f>
        <v>2000</v>
      </c>
    </row>
    <row r="109" spans="3:9" ht="16.5" thickBot="1">
      <c r="C109" s="395"/>
      <c r="D109" s="393"/>
      <c r="E109" s="393"/>
      <c r="G109" s="393"/>
      <c r="H109" s="840">
        <f>SUM(H107:H108)</f>
        <v>4000</v>
      </c>
      <c r="I109" s="839">
        <f>SUM(I107:I108)</f>
        <v>0</v>
      </c>
    </row>
    <row r="110" spans="1:8" ht="15.75">
      <c r="A110" s="893">
        <v>7</v>
      </c>
      <c r="B110" s="1293" t="s">
        <v>6</v>
      </c>
      <c r="C110" s="395"/>
      <c r="D110" s="393"/>
      <c r="E110" s="393" t="s">
        <v>7</v>
      </c>
      <c r="G110" s="393"/>
      <c r="H110" s="393">
        <f>20*550</f>
        <v>11000</v>
      </c>
    </row>
    <row r="111" spans="2:8" ht="15.75">
      <c r="B111" s="1293" t="s">
        <v>8</v>
      </c>
      <c r="C111" s="395"/>
      <c r="D111" s="393"/>
      <c r="E111" s="393">
        <v>10</v>
      </c>
      <c r="F111">
        <v>150</v>
      </c>
      <c r="G111" s="393"/>
      <c r="H111" s="393">
        <f>E111*F111</f>
        <v>1500</v>
      </c>
    </row>
    <row r="112" spans="2:8" ht="15.75">
      <c r="B112" s="1293" t="s">
        <v>578</v>
      </c>
      <c r="C112" s="395"/>
      <c r="D112" s="393"/>
      <c r="E112" s="393">
        <v>10</v>
      </c>
      <c r="F112">
        <v>500</v>
      </c>
      <c r="G112" s="393"/>
      <c r="H112" s="393">
        <f>E112*F112</f>
        <v>5000</v>
      </c>
    </row>
    <row r="113" spans="2:8" ht="15.75">
      <c r="B113" s="1293" t="s">
        <v>9</v>
      </c>
      <c r="C113" s="395"/>
      <c r="D113" s="393"/>
      <c r="E113" s="393">
        <v>10</v>
      </c>
      <c r="F113">
        <v>200</v>
      </c>
      <c r="G113" s="393"/>
      <c r="H113" s="393">
        <f>E113*F113</f>
        <v>2000</v>
      </c>
    </row>
    <row r="114" spans="2:8" ht="16.5" thickBot="1">
      <c r="B114" s="1293" t="s">
        <v>10</v>
      </c>
      <c r="C114" s="395"/>
      <c r="D114" s="393"/>
      <c r="E114" s="393">
        <v>10</v>
      </c>
      <c r="F114">
        <v>60</v>
      </c>
      <c r="G114" s="393"/>
      <c r="H114" s="393">
        <f>E114*F114</f>
        <v>600</v>
      </c>
    </row>
    <row r="115" spans="3:9" ht="16.5" thickBot="1">
      <c r="C115" s="395"/>
      <c r="D115" s="393"/>
      <c r="E115" s="393"/>
      <c r="G115" s="393"/>
      <c r="H115" s="840">
        <f>SUM(H110:H114)</f>
        <v>20100</v>
      </c>
      <c r="I115" s="839">
        <f>SUM(I110:I114)</f>
        <v>0</v>
      </c>
    </row>
    <row r="116" spans="1:8" ht="15">
      <c r="A116" s="893">
        <v>8</v>
      </c>
      <c r="B116" s="1293" t="s">
        <v>813</v>
      </c>
      <c r="C116" s="398"/>
      <c r="D116" s="393"/>
      <c r="E116" s="393"/>
      <c r="F116" s="393"/>
      <c r="G116" s="393"/>
      <c r="H116" s="393"/>
    </row>
    <row r="117" spans="2:8" ht="15">
      <c r="B117" s="1293" t="s">
        <v>11</v>
      </c>
      <c r="C117" s="398"/>
      <c r="D117" s="393"/>
      <c r="E117" s="393" t="s">
        <v>983</v>
      </c>
      <c r="F117" s="393"/>
      <c r="G117" s="393"/>
      <c r="H117" s="393">
        <f>6*500</f>
        <v>3000</v>
      </c>
    </row>
    <row r="118" spans="2:8" ht="15.75" thickBot="1">
      <c r="B118" s="1293" t="s">
        <v>12</v>
      </c>
      <c r="C118" s="398"/>
      <c r="D118" s="393"/>
      <c r="E118" s="393" t="s">
        <v>14</v>
      </c>
      <c r="F118" s="393"/>
      <c r="G118" s="393"/>
      <c r="H118" s="393">
        <f>6*500</f>
        <v>3000</v>
      </c>
    </row>
    <row r="119" spans="3:9" ht="15.75" thickBot="1">
      <c r="C119" s="398"/>
      <c r="D119" s="393"/>
      <c r="E119" s="393"/>
      <c r="F119" s="393"/>
      <c r="G119" s="393"/>
      <c r="H119" s="840">
        <f>SUM(H117:H118)</f>
        <v>6000</v>
      </c>
      <c r="I119" s="839">
        <f>SUM(I117:I118)</f>
        <v>0</v>
      </c>
    </row>
    <row r="120" spans="1:8" ht="15">
      <c r="A120" s="893">
        <v>9</v>
      </c>
      <c r="B120" s="1293" t="s">
        <v>1235</v>
      </c>
      <c r="E120" s="393" t="s">
        <v>983</v>
      </c>
      <c r="H120" s="1">
        <f>6*500</f>
        <v>3000</v>
      </c>
    </row>
    <row r="121" spans="2:8" ht="15">
      <c r="B121" s="1293" t="s">
        <v>984</v>
      </c>
      <c r="E121" s="393" t="s">
        <v>15</v>
      </c>
      <c r="H121" s="1">
        <f>4*600</f>
        <v>2400</v>
      </c>
    </row>
    <row r="122" spans="2:8" ht="15.75" thickBot="1">
      <c r="B122" s="1293" t="s">
        <v>8</v>
      </c>
      <c r="E122" s="393" t="s">
        <v>985</v>
      </c>
      <c r="H122" s="1">
        <f>6*250</f>
        <v>1500</v>
      </c>
    </row>
    <row r="123" spans="5:9" ht="15.75" thickBot="1">
      <c r="E123" s="393"/>
      <c r="H123" s="840">
        <f>SUM(H120:H122)</f>
        <v>6900</v>
      </c>
      <c r="I123" s="839">
        <f>SUM(I120:I122)</f>
        <v>0</v>
      </c>
    </row>
    <row r="124" spans="5:8" ht="15.75" thickBot="1">
      <c r="E124" s="393"/>
      <c r="H124" s="1"/>
    </row>
    <row r="125" spans="1:9" ht="16.5" thickBot="1">
      <c r="A125" s="397"/>
      <c r="C125" s="393"/>
      <c r="D125" s="393"/>
      <c r="E125" s="396"/>
      <c r="F125" s="1974" t="s">
        <v>56</v>
      </c>
      <c r="G125" s="1975"/>
      <c r="H125" s="841">
        <f>SUM(H86,H90,H94,H102,H106,H109,H115,H119,H123)</f>
        <v>142200</v>
      </c>
      <c r="I125" s="843">
        <f>SUM(I86,I90,I94,I102,I106,I109,I115,I119,I123)</f>
        <v>19000</v>
      </c>
    </row>
    <row r="126" spans="1:9" ht="15.75">
      <c r="A126" s="397"/>
      <c r="C126" s="393"/>
      <c r="D126" s="393"/>
      <c r="E126" s="396"/>
      <c r="F126" s="393"/>
      <c r="G126" s="393"/>
      <c r="H126" s="12"/>
      <c r="I126" s="399"/>
    </row>
    <row r="127" spans="1:9" ht="15" customHeight="1">
      <c r="A127" s="1976" t="s">
        <v>986</v>
      </c>
      <c r="B127" s="1976"/>
      <c r="C127" s="1976"/>
      <c r="D127" s="1976"/>
      <c r="E127" s="1976"/>
      <c r="F127" s="1976"/>
      <c r="G127" s="1976"/>
      <c r="H127" s="1976"/>
      <c r="I127" s="1976"/>
    </row>
    <row r="128" spans="1:8" ht="15.75">
      <c r="A128" s="397"/>
      <c r="C128" s="393"/>
      <c r="D128" s="393"/>
      <c r="E128" s="396"/>
      <c r="F128" s="393"/>
      <c r="G128" s="393"/>
      <c r="H128" s="393"/>
    </row>
    <row r="129" spans="1:8" ht="15.75">
      <c r="A129" s="397"/>
      <c r="C129" s="393"/>
      <c r="D129" s="393"/>
      <c r="E129" s="396"/>
      <c r="F129" s="393"/>
      <c r="G129" s="393"/>
      <c r="H129" s="393"/>
    </row>
    <row r="130" spans="2:5" s="838" customFormat="1" ht="15.75">
      <c r="B130" s="1294"/>
      <c r="E130" s="1261" t="s">
        <v>188</v>
      </c>
    </row>
    <row r="131" spans="2:5" s="838" customFormat="1" ht="15.75">
      <c r="B131" s="1294"/>
      <c r="E131" s="1261" t="s">
        <v>28</v>
      </c>
    </row>
    <row r="132" spans="3:8" ht="15">
      <c r="C132" s="393"/>
      <c r="D132" s="393"/>
      <c r="E132" s="393"/>
      <c r="F132" s="393"/>
      <c r="G132" s="393"/>
      <c r="H132" s="393"/>
    </row>
    <row r="133" spans="2:8" ht="15">
      <c r="B133" s="1293" t="s">
        <v>1156</v>
      </c>
      <c r="C133" s="393"/>
      <c r="D133" s="393"/>
      <c r="E133" s="393" t="s">
        <v>570</v>
      </c>
      <c r="F133" s="393"/>
      <c r="G133" s="393"/>
      <c r="H133" s="393">
        <v>100</v>
      </c>
    </row>
    <row r="134" spans="3:8" ht="15">
      <c r="C134" s="393"/>
      <c r="D134" s="393"/>
      <c r="E134" s="393" t="s">
        <v>1909</v>
      </c>
      <c r="F134" s="393"/>
      <c r="G134" s="393"/>
      <c r="H134" s="393">
        <v>115</v>
      </c>
    </row>
    <row r="135" spans="3:9" ht="15">
      <c r="C135" s="393"/>
      <c r="D135" s="393"/>
      <c r="E135" s="393" t="s">
        <v>571</v>
      </c>
      <c r="F135" s="393"/>
      <c r="G135" s="393"/>
      <c r="H135" s="393">
        <v>50</v>
      </c>
      <c r="I135" s="838"/>
    </row>
    <row r="136" spans="3:9" ht="15">
      <c r="C136" s="393"/>
      <c r="D136" s="393"/>
      <c r="E136" s="393" t="s">
        <v>572</v>
      </c>
      <c r="F136" s="393"/>
      <c r="G136" s="393"/>
      <c r="H136" s="393">
        <v>80</v>
      </c>
      <c r="I136" s="838"/>
    </row>
    <row r="137" spans="3:9" ht="15">
      <c r="C137" s="393"/>
      <c r="D137" s="393"/>
      <c r="E137" s="393" t="s">
        <v>521</v>
      </c>
      <c r="F137" s="393"/>
      <c r="G137" s="393"/>
      <c r="H137" s="443">
        <v>150</v>
      </c>
      <c r="I137" s="838"/>
    </row>
    <row r="138" spans="3:9" ht="15">
      <c r="C138" s="393"/>
      <c r="D138" s="393"/>
      <c r="E138" s="393"/>
      <c r="F138" s="393"/>
      <c r="G138" s="393"/>
      <c r="H138" s="398">
        <f>SUM(H133:H137)</f>
        <v>495</v>
      </c>
      <c r="I138" s="838"/>
    </row>
    <row r="139" spans="2:9" ht="15">
      <c r="B139" s="1293" t="s">
        <v>1157</v>
      </c>
      <c r="C139" s="393"/>
      <c r="D139" s="393"/>
      <c r="E139" s="393" t="s">
        <v>1605</v>
      </c>
      <c r="F139" s="393"/>
      <c r="G139" s="393"/>
      <c r="H139" s="393">
        <v>280</v>
      </c>
      <c r="I139" s="838"/>
    </row>
    <row r="140" spans="3:9" ht="15">
      <c r="C140" s="393"/>
      <c r="D140" s="393"/>
      <c r="E140" s="393" t="s">
        <v>1909</v>
      </c>
      <c r="F140" s="393"/>
      <c r="G140" s="393"/>
      <c r="H140" s="393">
        <v>115</v>
      </c>
      <c r="I140" s="838"/>
    </row>
    <row r="141" spans="3:9" ht="15">
      <c r="C141" s="393"/>
      <c r="D141" s="393"/>
      <c r="E141" s="393" t="s">
        <v>522</v>
      </c>
      <c r="F141" s="393"/>
      <c r="G141" s="393"/>
      <c r="H141" s="443">
        <v>120</v>
      </c>
      <c r="I141" s="838"/>
    </row>
    <row r="142" spans="3:9" ht="15">
      <c r="C142" s="393"/>
      <c r="D142" s="393"/>
      <c r="E142" s="393"/>
      <c r="F142" s="393"/>
      <c r="G142" s="393"/>
      <c r="H142" s="398">
        <f>SUM(H139:H141)</f>
        <v>515</v>
      </c>
      <c r="I142" s="838"/>
    </row>
    <row r="143" spans="3:9" ht="15">
      <c r="C143" s="393"/>
      <c r="D143" s="393"/>
      <c r="E143" s="393"/>
      <c r="F143" s="393"/>
      <c r="G143" s="393"/>
      <c r="H143" s="398"/>
      <c r="I143" s="838"/>
    </row>
    <row r="144" spans="2:9" ht="15">
      <c r="B144" s="1293" t="s">
        <v>1158</v>
      </c>
      <c r="C144" s="393"/>
      <c r="D144" s="393"/>
      <c r="E144" s="393" t="s">
        <v>705</v>
      </c>
      <c r="F144" s="393"/>
      <c r="G144" s="393"/>
      <c r="H144" s="393">
        <v>345</v>
      </c>
      <c r="I144" s="838"/>
    </row>
    <row r="145" spans="3:9" ht="15">
      <c r="C145" s="393"/>
      <c r="D145" s="393"/>
      <c r="E145" s="393" t="s">
        <v>1606</v>
      </c>
      <c r="F145" s="393"/>
      <c r="G145" s="393"/>
      <c r="H145" s="443">
        <v>80</v>
      </c>
      <c r="I145" s="838"/>
    </row>
    <row r="146" spans="3:9" ht="15">
      <c r="C146" s="393"/>
      <c r="D146" s="393"/>
      <c r="E146" s="393"/>
      <c r="F146" s="393"/>
      <c r="G146" s="393"/>
      <c r="H146" s="398">
        <f>SUM(H144:H145)</f>
        <v>425</v>
      </c>
      <c r="I146" s="838"/>
    </row>
    <row r="147" spans="2:9" ht="15">
      <c r="B147" s="1293" t="s">
        <v>1159</v>
      </c>
      <c r="C147" s="393"/>
      <c r="D147" s="393"/>
      <c r="E147" s="393" t="s">
        <v>706</v>
      </c>
      <c r="F147" s="393"/>
      <c r="G147" s="393"/>
      <c r="H147" s="393">
        <v>345</v>
      </c>
      <c r="I147" s="838"/>
    </row>
    <row r="148" spans="3:9" ht="15">
      <c r="C148" s="393"/>
      <c r="D148" s="393"/>
      <c r="E148" s="393" t="s">
        <v>524</v>
      </c>
      <c r="F148" s="393"/>
      <c r="G148" s="393"/>
      <c r="H148" s="393">
        <v>120</v>
      </c>
      <c r="I148" s="838"/>
    </row>
    <row r="149" spans="3:10" ht="15">
      <c r="C149" s="393"/>
      <c r="D149" s="393"/>
      <c r="E149" s="393" t="s">
        <v>1607</v>
      </c>
      <c r="F149" s="393"/>
      <c r="G149" s="393"/>
      <c r="H149" s="443">
        <v>102</v>
      </c>
      <c r="I149" s="844"/>
      <c r="J149" s="1"/>
    </row>
    <row r="150" spans="3:10" ht="15">
      <c r="C150" s="393"/>
      <c r="D150" s="393"/>
      <c r="E150" s="393"/>
      <c r="F150" s="393"/>
      <c r="G150" s="393"/>
      <c r="H150" s="398">
        <f>SUM(H147:H149)</f>
        <v>567</v>
      </c>
      <c r="I150" s="844"/>
      <c r="J150" s="1"/>
    </row>
    <row r="151" spans="2:10" ht="15">
      <c r="B151" s="1293" t="s">
        <v>1160</v>
      </c>
      <c r="C151" s="393"/>
      <c r="D151" s="393"/>
      <c r="E151" s="393" t="s">
        <v>707</v>
      </c>
      <c r="F151" s="393"/>
      <c r="G151" s="393"/>
      <c r="H151" s="393">
        <v>460</v>
      </c>
      <c r="I151" s="845"/>
      <c r="J151" s="1"/>
    </row>
    <row r="152" spans="3:10" ht="15">
      <c r="C152" s="393"/>
      <c r="D152" s="393"/>
      <c r="E152" s="393" t="s">
        <v>525</v>
      </c>
      <c r="F152" s="393"/>
      <c r="G152" s="393"/>
      <c r="H152" s="393">
        <v>225</v>
      </c>
      <c r="I152" s="1"/>
      <c r="J152" s="1"/>
    </row>
    <row r="153" spans="3:10" ht="15">
      <c r="C153" s="393"/>
      <c r="D153" s="393"/>
      <c r="E153" s="393" t="s">
        <v>571</v>
      </c>
      <c r="F153" s="393"/>
      <c r="G153" s="393"/>
      <c r="H153" s="393">
        <v>50</v>
      </c>
      <c r="I153" s="1"/>
      <c r="J153" s="1"/>
    </row>
    <row r="154" spans="3:10" ht="15">
      <c r="C154" s="393"/>
      <c r="D154" s="393"/>
      <c r="E154" s="393" t="s">
        <v>1608</v>
      </c>
      <c r="F154" s="393"/>
      <c r="G154" s="393"/>
      <c r="H154" s="393">
        <v>120</v>
      </c>
      <c r="I154" s="1"/>
      <c r="J154" s="1"/>
    </row>
    <row r="155" spans="3:10" ht="15">
      <c r="C155" s="393"/>
      <c r="D155" s="393"/>
      <c r="E155" s="393" t="s">
        <v>123</v>
      </c>
      <c r="F155" s="393"/>
      <c r="G155" s="393"/>
      <c r="H155" s="393">
        <v>20</v>
      </c>
      <c r="I155" s="1"/>
      <c r="J155" s="1"/>
    </row>
    <row r="156" spans="3:10" ht="15">
      <c r="C156" s="393"/>
      <c r="D156" s="393"/>
      <c r="E156" s="393" t="s">
        <v>526</v>
      </c>
      <c r="F156" s="393"/>
      <c r="G156" s="393"/>
      <c r="H156" s="443">
        <v>550</v>
      </c>
      <c r="I156" s="1"/>
      <c r="J156" s="1"/>
    </row>
    <row r="157" spans="3:10" ht="15">
      <c r="C157" s="393"/>
      <c r="D157" s="393"/>
      <c r="E157" s="393"/>
      <c r="F157" s="393"/>
      <c r="G157" s="393"/>
      <c r="H157" s="398">
        <f>SUM(H151:H156)</f>
        <v>1425</v>
      </c>
      <c r="I157" s="1"/>
      <c r="J157" s="1"/>
    </row>
    <row r="158" spans="2:10" ht="15">
      <c r="B158" s="1293" t="s">
        <v>1161</v>
      </c>
      <c r="C158" s="393"/>
      <c r="D158" s="393"/>
      <c r="E158" s="393" t="s">
        <v>700</v>
      </c>
      <c r="F158" s="393"/>
      <c r="G158" s="393"/>
      <c r="H158" s="393">
        <v>250</v>
      </c>
      <c r="I158" s="1"/>
      <c r="J158" s="1"/>
    </row>
    <row r="159" spans="3:10" ht="15">
      <c r="C159" s="393"/>
      <c r="D159" s="393"/>
      <c r="E159" s="393" t="s">
        <v>705</v>
      </c>
      <c r="F159" s="393"/>
      <c r="G159" s="393"/>
      <c r="H159" s="393">
        <v>345</v>
      </c>
      <c r="I159" s="1"/>
      <c r="J159" s="1"/>
    </row>
    <row r="160" spans="3:8" ht="15">
      <c r="C160" s="393"/>
      <c r="D160" s="393"/>
      <c r="E160" s="393" t="s">
        <v>571</v>
      </c>
      <c r="F160" s="393"/>
      <c r="G160" s="393"/>
      <c r="H160" s="393">
        <v>50</v>
      </c>
    </row>
    <row r="161" spans="3:8" ht="15">
      <c r="C161" s="393"/>
      <c r="D161" s="393"/>
      <c r="E161" s="393" t="s">
        <v>570</v>
      </c>
      <c r="F161" s="393"/>
      <c r="G161" s="393"/>
      <c r="H161" s="393">
        <v>100</v>
      </c>
    </row>
    <row r="162" spans="3:8" ht="15">
      <c r="C162" s="393"/>
      <c r="D162" s="393"/>
      <c r="E162" s="393" t="s">
        <v>701</v>
      </c>
      <c r="F162" s="393"/>
      <c r="G162" s="393"/>
      <c r="H162" s="393">
        <v>1100</v>
      </c>
    </row>
    <row r="163" spans="3:8" ht="15">
      <c r="C163" s="393"/>
      <c r="D163" s="393"/>
      <c r="E163" s="393" t="s">
        <v>702</v>
      </c>
      <c r="F163" s="393"/>
      <c r="G163" s="393"/>
      <c r="H163" s="393">
        <v>250</v>
      </c>
    </row>
    <row r="164" spans="3:8" ht="15">
      <c r="C164" s="393"/>
      <c r="D164" s="393"/>
      <c r="E164" s="393" t="s">
        <v>1608</v>
      </c>
      <c r="F164" s="393"/>
      <c r="G164" s="393"/>
      <c r="H164" s="393">
        <v>120</v>
      </c>
    </row>
    <row r="165" spans="3:8" ht="15">
      <c r="C165" s="393"/>
      <c r="D165" s="393"/>
      <c r="E165" s="393" t="s">
        <v>124</v>
      </c>
      <c r="F165" s="393"/>
      <c r="G165" s="393"/>
      <c r="H165" s="393">
        <v>48</v>
      </c>
    </row>
    <row r="166" spans="3:8" ht="15">
      <c r="C166" s="393"/>
      <c r="D166" s="393"/>
      <c r="E166" s="393" t="s">
        <v>199</v>
      </c>
      <c r="F166" s="393"/>
      <c r="G166" s="393"/>
      <c r="H166" s="443">
        <v>87</v>
      </c>
    </row>
    <row r="167" spans="3:8" ht="15">
      <c r="C167" s="393"/>
      <c r="D167" s="393"/>
      <c r="E167" s="393"/>
      <c r="F167" s="393"/>
      <c r="G167" s="393"/>
      <c r="H167" s="398">
        <f>SUM(H158:H166)</f>
        <v>2350</v>
      </c>
    </row>
    <row r="168" spans="2:8" ht="15">
      <c r="B168" s="1293" t="s">
        <v>1162</v>
      </c>
      <c r="C168" s="393"/>
      <c r="D168" s="393"/>
      <c r="E168" s="393" t="s">
        <v>705</v>
      </c>
      <c r="F168" s="393"/>
      <c r="G168" s="393"/>
      <c r="H168" s="393">
        <v>345</v>
      </c>
    </row>
    <row r="169" spans="3:8" ht="15">
      <c r="C169" s="393"/>
      <c r="D169" s="393"/>
      <c r="E169" s="393" t="s">
        <v>123</v>
      </c>
      <c r="F169" s="393"/>
      <c r="G169" s="393"/>
      <c r="H169" s="393">
        <v>20</v>
      </c>
    </row>
    <row r="170" spans="3:8" ht="15">
      <c r="C170" s="393"/>
      <c r="D170" s="393"/>
      <c r="E170" s="393" t="s">
        <v>125</v>
      </c>
      <c r="F170" s="393"/>
      <c r="G170" s="393"/>
      <c r="H170" s="393">
        <v>120</v>
      </c>
    </row>
    <row r="171" spans="3:8" ht="15">
      <c r="C171" s="393"/>
      <c r="D171" s="393"/>
      <c r="E171" s="393" t="s">
        <v>126</v>
      </c>
      <c r="F171" s="393"/>
      <c r="G171" s="393"/>
      <c r="H171" s="393">
        <v>40</v>
      </c>
    </row>
    <row r="172" spans="3:8" ht="15">
      <c r="C172" s="393"/>
      <c r="D172" s="393"/>
      <c r="E172" s="393" t="s">
        <v>285</v>
      </c>
      <c r="F172" s="393"/>
      <c r="G172" s="393"/>
      <c r="H172" s="393">
        <v>24</v>
      </c>
    </row>
    <row r="173" spans="3:8" ht="15">
      <c r="C173" s="393"/>
      <c r="D173" s="393"/>
      <c r="E173" s="393" t="s">
        <v>1643</v>
      </c>
      <c r="F173" s="393"/>
      <c r="G173" s="393"/>
      <c r="H173" s="443">
        <v>36</v>
      </c>
    </row>
    <row r="174" spans="3:8" ht="15">
      <c r="C174" s="393"/>
      <c r="D174" s="393"/>
      <c r="E174" s="393"/>
      <c r="F174" s="393"/>
      <c r="G174" s="393"/>
      <c r="H174" s="398">
        <f>SUM(H168:H173)</f>
        <v>585</v>
      </c>
    </row>
    <row r="175" spans="2:8" ht="15">
      <c r="B175" s="1293" t="s">
        <v>1163</v>
      </c>
      <c r="C175" s="393"/>
      <c r="D175" s="393"/>
      <c r="E175" s="393" t="s">
        <v>707</v>
      </c>
      <c r="F175" s="393"/>
      <c r="G175" s="393"/>
      <c r="H175" s="393">
        <v>460</v>
      </c>
    </row>
    <row r="176" spans="3:8" ht="15">
      <c r="C176" s="393"/>
      <c r="D176" s="393"/>
      <c r="E176" s="393" t="s">
        <v>123</v>
      </c>
      <c r="F176" s="393"/>
      <c r="G176" s="393"/>
      <c r="H176" s="393">
        <v>20</v>
      </c>
    </row>
    <row r="177" spans="3:8" ht="15">
      <c r="C177" s="393"/>
      <c r="D177" s="393"/>
      <c r="E177" s="393" t="s">
        <v>1644</v>
      </c>
      <c r="F177" s="393"/>
      <c r="G177" s="393"/>
      <c r="H177" s="393">
        <v>75</v>
      </c>
    </row>
    <row r="178" spans="3:8" ht="15">
      <c r="C178" s="393"/>
      <c r="D178" s="393"/>
      <c r="E178" s="393" t="s">
        <v>1645</v>
      </c>
      <c r="F178" s="393"/>
      <c r="G178" s="393"/>
      <c r="H178" s="393">
        <v>150</v>
      </c>
    </row>
    <row r="179" spans="3:8" ht="15">
      <c r="C179" s="393"/>
      <c r="D179" s="393"/>
      <c r="E179" s="393" t="s">
        <v>1646</v>
      </c>
      <c r="F179" s="393"/>
      <c r="G179" s="393"/>
      <c r="H179" s="393">
        <v>180</v>
      </c>
    </row>
    <row r="180" spans="3:8" ht="15">
      <c r="C180" s="393"/>
      <c r="D180" s="393"/>
      <c r="E180" s="393" t="s">
        <v>1199</v>
      </c>
      <c r="F180" s="393"/>
      <c r="G180" s="393"/>
      <c r="H180" s="393">
        <v>45</v>
      </c>
    </row>
    <row r="181" spans="3:8" ht="15">
      <c r="C181" s="393"/>
      <c r="D181" s="393"/>
      <c r="E181" s="393" t="s">
        <v>703</v>
      </c>
      <c r="F181" s="393"/>
      <c r="G181" s="393"/>
      <c r="H181" s="393">
        <v>200</v>
      </c>
    </row>
    <row r="182" spans="3:8" ht="15">
      <c r="C182" s="393"/>
      <c r="D182" s="393"/>
      <c r="E182" s="393" t="s">
        <v>1200</v>
      </c>
      <c r="F182" s="393"/>
      <c r="G182" s="393"/>
      <c r="H182" s="393">
        <v>200</v>
      </c>
    </row>
    <row r="183" spans="3:8" ht="15">
      <c r="C183" s="393"/>
      <c r="D183" s="393"/>
      <c r="E183" s="393" t="s">
        <v>124</v>
      </c>
      <c r="F183" s="393"/>
      <c r="G183" s="393"/>
      <c r="H183" s="393">
        <v>48</v>
      </c>
    </row>
    <row r="184" spans="3:8" ht="15">
      <c r="C184" s="393"/>
      <c r="D184" s="393"/>
      <c r="E184" s="393" t="s">
        <v>1728</v>
      </c>
      <c r="F184" s="393"/>
      <c r="G184" s="393"/>
      <c r="H184" s="393">
        <v>150</v>
      </c>
    </row>
    <row r="185" spans="3:8" ht="15">
      <c r="C185" s="393"/>
      <c r="D185" s="393"/>
      <c r="E185" s="393" t="s">
        <v>1076</v>
      </c>
      <c r="F185" s="393"/>
      <c r="G185" s="393"/>
      <c r="H185" s="393">
        <v>80</v>
      </c>
    </row>
    <row r="186" spans="3:8" ht="15">
      <c r="C186" s="393"/>
      <c r="D186" s="393"/>
      <c r="E186" s="393" t="s">
        <v>1077</v>
      </c>
      <c r="F186" s="393"/>
      <c r="G186" s="393"/>
      <c r="H186" s="393">
        <v>150</v>
      </c>
    </row>
    <row r="187" spans="3:8" ht="15">
      <c r="C187" s="393"/>
      <c r="D187" s="393"/>
      <c r="E187" s="393" t="s">
        <v>1078</v>
      </c>
      <c r="F187" s="393"/>
      <c r="G187" s="393"/>
      <c r="H187" s="393">
        <v>200</v>
      </c>
    </row>
    <row r="188" spans="3:8" ht="15">
      <c r="C188" s="393"/>
      <c r="D188" s="393"/>
      <c r="E188" s="393" t="s">
        <v>1079</v>
      </c>
      <c r="F188" s="393"/>
      <c r="G188" s="393"/>
      <c r="H188" s="393">
        <v>300</v>
      </c>
    </row>
    <row r="189" spans="3:8" ht="15">
      <c r="C189" s="393"/>
      <c r="D189" s="393"/>
      <c r="E189" s="393" t="s">
        <v>1201</v>
      </c>
      <c r="F189" s="393"/>
      <c r="G189" s="393"/>
      <c r="H189" s="443">
        <v>342</v>
      </c>
    </row>
    <row r="190" spans="3:8" ht="15">
      <c r="C190" s="393"/>
      <c r="D190" s="393"/>
      <c r="E190" s="393"/>
      <c r="F190" s="393"/>
      <c r="G190" s="393"/>
      <c r="H190" s="398">
        <f>SUM(H175:H189)</f>
        <v>2600</v>
      </c>
    </row>
    <row r="191" spans="2:4" ht="15.75">
      <c r="B191" s="1294"/>
      <c r="C191" s="664"/>
      <c r="D191" s="662"/>
    </row>
    <row r="192" spans="2:8" ht="15">
      <c r="B192" s="1293" t="s">
        <v>1890</v>
      </c>
      <c r="C192" s="393"/>
      <c r="D192" s="393"/>
      <c r="E192" s="393" t="s">
        <v>1552</v>
      </c>
      <c r="F192" s="393"/>
      <c r="G192" s="393"/>
      <c r="H192" s="393">
        <v>450</v>
      </c>
    </row>
    <row r="193" spans="3:8" ht="15">
      <c r="C193" s="393"/>
      <c r="D193" s="393"/>
      <c r="E193" s="393" t="s">
        <v>704</v>
      </c>
      <c r="F193" s="393"/>
      <c r="G193" s="393"/>
      <c r="H193" s="393">
        <v>60</v>
      </c>
    </row>
    <row r="194" spans="3:8" ht="15">
      <c r="C194" s="393"/>
      <c r="D194" s="393"/>
      <c r="E194" s="393" t="s">
        <v>1202</v>
      </c>
      <c r="F194" s="393"/>
      <c r="G194" s="393"/>
      <c r="H194" s="393">
        <v>100</v>
      </c>
    </row>
    <row r="195" spans="3:8" ht="15">
      <c r="C195" s="393"/>
      <c r="D195" s="393"/>
      <c r="E195" s="393" t="s">
        <v>504</v>
      </c>
      <c r="F195" s="393"/>
      <c r="G195" s="393"/>
      <c r="H195" s="393">
        <v>180</v>
      </c>
    </row>
    <row r="196" spans="3:8" ht="15">
      <c r="C196" s="393"/>
      <c r="D196" s="393"/>
      <c r="E196" s="393" t="s">
        <v>1434</v>
      </c>
      <c r="F196" s="393"/>
      <c r="G196" s="393"/>
      <c r="H196" s="393">
        <v>2500</v>
      </c>
    </row>
    <row r="197" spans="3:8" ht="15">
      <c r="C197" s="393"/>
      <c r="D197" s="393"/>
      <c r="E197" s="393" t="s">
        <v>1612</v>
      </c>
      <c r="F197" s="393"/>
      <c r="G197" s="393"/>
      <c r="H197" s="393">
        <v>980</v>
      </c>
    </row>
    <row r="198" spans="3:8" ht="15">
      <c r="C198" s="393"/>
      <c r="D198" s="393"/>
      <c r="E198" s="393" t="s">
        <v>505</v>
      </c>
      <c r="F198" s="393"/>
      <c r="G198" s="393"/>
      <c r="H198" s="393">
        <v>40</v>
      </c>
    </row>
    <row r="199" spans="3:8" ht="15">
      <c r="C199" s="393"/>
      <c r="D199" s="393"/>
      <c r="E199" s="393" t="s">
        <v>1436</v>
      </c>
      <c r="F199" s="393"/>
      <c r="G199" s="393"/>
      <c r="H199" s="393">
        <v>650</v>
      </c>
    </row>
    <row r="200" spans="3:8" ht="15">
      <c r="C200" s="393"/>
      <c r="D200" s="393"/>
      <c r="E200" s="393" t="s">
        <v>1437</v>
      </c>
      <c r="F200" s="393"/>
      <c r="G200" s="393"/>
      <c r="H200" s="393">
        <v>160</v>
      </c>
    </row>
    <row r="201" spans="3:8" ht="15">
      <c r="C201" s="393"/>
      <c r="D201" s="393"/>
      <c r="E201" s="393" t="s">
        <v>1550</v>
      </c>
      <c r="F201" s="393"/>
      <c r="G201" s="393"/>
      <c r="H201" s="393">
        <v>180</v>
      </c>
    </row>
    <row r="202" spans="3:8" ht="15">
      <c r="C202" s="393"/>
      <c r="D202" s="393"/>
      <c r="E202" s="393" t="s">
        <v>440</v>
      </c>
      <c r="F202" s="393"/>
      <c r="G202" s="393"/>
      <c r="H202" s="393">
        <v>200</v>
      </c>
    </row>
    <row r="203" spans="3:8" ht="15">
      <c r="C203" s="393"/>
      <c r="D203" s="393"/>
      <c r="E203" s="393" t="s">
        <v>523</v>
      </c>
      <c r="F203" s="393"/>
      <c r="G203" s="393"/>
      <c r="H203" s="393">
        <v>100</v>
      </c>
    </row>
    <row r="204" spans="3:8" ht="15">
      <c r="C204" s="393"/>
      <c r="D204" s="393"/>
      <c r="E204" s="393" t="s">
        <v>1447</v>
      </c>
      <c r="F204" s="393"/>
      <c r="G204" s="393"/>
      <c r="H204" s="393">
        <v>700</v>
      </c>
    </row>
    <row r="205" spans="1:8" ht="15">
      <c r="A205" s="1296"/>
      <c r="C205" s="393"/>
      <c r="D205" s="393"/>
      <c r="E205" s="393" t="s">
        <v>1908</v>
      </c>
      <c r="F205" s="393"/>
      <c r="G205" s="393"/>
      <c r="H205" s="393">
        <v>120</v>
      </c>
    </row>
    <row r="206" spans="3:8" ht="15">
      <c r="C206" s="393"/>
      <c r="D206" s="393"/>
      <c r="E206" s="393" t="s">
        <v>1551</v>
      </c>
      <c r="F206" s="393"/>
      <c r="G206" s="393"/>
      <c r="H206" s="443">
        <v>240</v>
      </c>
    </row>
    <row r="207" spans="3:8" ht="15">
      <c r="C207" s="393"/>
      <c r="D207" s="393"/>
      <c r="E207" s="393"/>
      <c r="F207" s="393"/>
      <c r="G207" s="393"/>
      <c r="H207" s="12">
        <f>SUM(H192:H206)</f>
        <v>6660</v>
      </c>
    </row>
    <row r="208" spans="3:8" ht="15">
      <c r="C208" s="393"/>
      <c r="D208" s="393"/>
      <c r="E208" s="393"/>
      <c r="F208" s="393"/>
      <c r="G208" s="393"/>
      <c r="H208" s="12"/>
    </row>
    <row r="209" spans="2:8" ht="15">
      <c r="B209" s="1293" t="s">
        <v>1769</v>
      </c>
      <c r="C209" s="393"/>
      <c r="D209" s="393"/>
      <c r="E209" s="393" t="s">
        <v>16</v>
      </c>
      <c r="F209" s="393"/>
      <c r="G209" s="393"/>
      <c r="H209" s="13">
        <v>2000</v>
      </c>
    </row>
    <row r="210" spans="3:8" ht="15">
      <c r="C210" s="393"/>
      <c r="D210" s="393"/>
      <c r="E210" s="393" t="s">
        <v>1770</v>
      </c>
      <c r="F210" s="393"/>
      <c r="G210" s="393"/>
      <c r="H210" s="13">
        <v>2000</v>
      </c>
    </row>
    <row r="211" spans="3:8" ht="15.75" thickBot="1">
      <c r="C211" s="393"/>
      <c r="D211" s="393"/>
      <c r="E211" s="393"/>
      <c r="F211" s="393"/>
      <c r="G211" s="393"/>
      <c r="H211" s="19">
        <f>SUM(H209:H210)</f>
        <v>4000</v>
      </c>
    </row>
    <row r="212" spans="3:8" ht="15">
      <c r="C212" s="393"/>
      <c r="D212" s="393"/>
      <c r="E212" s="393"/>
      <c r="F212" s="393"/>
      <c r="G212" s="393"/>
      <c r="H212" s="12"/>
    </row>
    <row r="213" spans="2:8" ht="15">
      <c r="B213" s="1293" t="s">
        <v>1891</v>
      </c>
      <c r="C213" s="393"/>
      <c r="D213" s="393"/>
      <c r="E213" s="393" t="s">
        <v>1552</v>
      </c>
      <c r="F213" s="393"/>
      <c r="G213" s="393"/>
      <c r="H213" s="12"/>
    </row>
    <row r="214" spans="3:8" ht="15">
      <c r="C214" s="393"/>
      <c r="D214" s="393"/>
      <c r="E214" s="393" t="s">
        <v>704</v>
      </c>
      <c r="F214" s="393"/>
      <c r="G214" s="393"/>
      <c r="H214" s="393">
        <v>450</v>
      </c>
    </row>
    <row r="215" spans="3:8" ht="15">
      <c r="C215" s="393"/>
      <c r="D215" s="393"/>
      <c r="E215" s="393" t="s">
        <v>1202</v>
      </c>
      <c r="F215" s="393"/>
      <c r="G215" s="393"/>
      <c r="H215" s="393">
        <v>60</v>
      </c>
    </row>
    <row r="216" spans="3:8" ht="15">
      <c r="C216" s="393"/>
      <c r="D216" s="393"/>
      <c r="E216" s="393" t="s">
        <v>504</v>
      </c>
      <c r="F216" s="393"/>
      <c r="G216" s="393"/>
      <c r="H216" s="393">
        <v>100</v>
      </c>
    </row>
    <row r="217" spans="3:8" ht="15">
      <c r="C217" s="393"/>
      <c r="D217" s="393"/>
      <c r="E217" s="393" t="s">
        <v>640</v>
      </c>
      <c r="F217" s="393"/>
      <c r="G217" s="393"/>
      <c r="H217" s="393">
        <v>180</v>
      </c>
    </row>
    <row r="218" spans="3:8" ht="15">
      <c r="C218" s="393"/>
      <c r="D218" s="393"/>
      <c r="E218" s="393" t="s">
        <v>639</v>
      </c>
      <c r="F218" s="393"/>
      <c r="G218" s="393"/>
      <c r="H218" s="393">
        <v>350</v>
      </c>
    </row>
    <row r="219" spans="3:8" ht="15">
      <c r="C219" s="393"/>
      <c r="D219" s="393"/>
      <c r="E219" s="393" t="s">
        <v>1436</v>
      </c>
      <c r="F219" s="393"/>
      <c r="G219" s="393"/>
      <c r="H219" s="393">
        <v>1380</v>
      </c>
    </row>
    <row r="220" spans="3:8" ht="15">
      <c r="C220" s="393"/>
      <c r="D220" s="393"/>
      <c r="E220" s="393" t="s">
        <v>1437</v>
      </c>
      <c r="F220" s="393"/>
      <c r="G220" s="393"/>
      <c r="H220" s="393">
        <v>650</v>
      </c>
    </row>
    <row r="221" spans="3:8" ht="15">
      <c r="C221" s="393"/>
      <c r="D221" s="393"/>
      <c r="E221" s="393" t="s">
        <v>1550</v>
      </c>
      <c r="F221" s="393"/>
      <c r="G221" s="393"/>
      <c r="H221" s="393">
        <v>160</v>
      </c>
    </row>
    <row r="222" spans="3:8" ht="15">
      <c r="C222" s="393"/>
      <c r="D222" s="393"/>
      <c r="E222" s="393" t="s">
        <v>440</v>
      </c>
      <c r="F222" s="393"/>
      <c r="G222" s="393"/>
      <c r="H222" s="496">
        <v>180</v>
      </c>
    </row>
    <row r="223" spans="3:8" ht="15">
      <c r="C223" s="393"/>
      <c r="D223" s="393"/>
      <c r="E223" s="393" t="s">
        <v>523</v>
      </c>
      <c r="F223" s="393"/>
      <c r="G223" s="393"/>
      <c r="H223" s="393">
        <v>200</v>
      </c>
    </row>
    <row r="224" spans="3:8" ht="15">
      <c r="C224" s="393"/>
      <c r="D224" s="393"/>
      <c r="E224" s="393" t="s">
        <v>1447</v>
      </c>
      <c r="F224" s="393"/>
      <c r="G224" s="393"/>
      <c r="H224" s="393">
        <v>100</v>
      </c>
    </row>
    <row r="225" spans="3:8" ht="15">
      <c r="C225" s="393"/>
      <c r="D225" s="393"/>
      <c r="E225" s="393" t="s">
        <v>1908</v>
      </c>
      <c r="F225" s="393"/>
      <c r="G225" s="393"/>
      <c r="H225" s="393">
        <v>700</v>
      </c>
    </row>
    <row r="226" spans="3:8" ht="15">
      <c r="C226" s="393"/>
      <c r="D226" s="393"/>
      <c r="E226" s="393" t="s">
        <v>1892</v>
      </c>
      <c r="F226" s="393"/>
      <c r="G226" s="393"/>
      <c r="H226" s="393">
        <v>120</v>
      </c>
    </row>
    <row r="227" spans="3:9" ht="15">
      <c r="C227" s="393"/>
      <c r="D227" s="393"/>
      <c r="E227" s="894" t="s">
        <v>804</v>
      </c>
      <c r="F227" s="894"/>
      <c r="G227" s="894"/>
      <c r="H227" s="496">
        <v>1440</v>
      </c>
      <c r="I227" s="896"/>
    </row>
    <row r="228" spans="3:9" ht="15">
      <c r="C228" s="393"/>
      <c r="D228" s="393"/>
      <c r="E228" s="894" t="s">
        <v>805</v>
      </c>
      <c r="F228" s="894"/>
      <c r="G228" s="894"/>
      <c r="H228" s="895">
        <v>900</v>
      </c>
      <c r="I228" s="896"/>
    </row>
    <row r="229" spans="3:9" ht="15">
      <c r="C229" s="393"/>
      <c r="D229" s="393"/>
      <c r="E229" s="894" t="s">
        <v>806</v>
      </c>
      <c r="F229" s="894"/>
      <c r="G229" s="894"/>
      <c r="H229" s="895">
        <v>150</v>
      </c>
      <c r="I229" s="896"/>
    </row>
    <row r="230" spans="3:8" ht="15">
      <c r="C230" s="393"/>
      <c r="D230" s="393"/>
      <c r="E230" s="393"/>
      <c r="F230" s="393"/>
      <c r="G230" s="393"/>
      <c r="H230" s="897">
        <v>2000</v>
      </c>
    </row>
    <row r="231" spans="3:8" ht="15">
      <c r="C231" s="393"/>
      <c r="D231" s="393"/>
      <c r="E231" s="393"/>
      <c r="F231" s="393"/>
      <c r="G231" s="393"/>
      <c r="H231" s="399">
        <f>SUM(H214:H230)</f>
        <v>9120</v>
      </c>
    </row>
    <row r="232" spans="3:8" ht="15">
      <c r="C232" s="393"/>
      <c r="D232" s="393" t="s">
        <v>802</v>
      </c>
      <c r="E232" s="393"/>
      <c r="F232" s="393"/>
      <c r="G232" s="393"/>
      <c r="H232" s="399"/>
    </row>
    <row r="233" spans="3:8" ht="15">
      <c r="C233" s="393"/>
      <c r="D233" s="393" t="s">
        <v>803</v>
      </c>
      <c r="E233" s="393"/>
      <c r="F233" s="393"/>
      <c r="G233" s="393"/>
      <c r="H233" s="399">
        <v>10000</v>
      </c>
    </row>
    <row r="234" spans="3:8" ht="15">
      <c r="C234" s="393"/>
      <c r="D234" s="393"/>
      <c r="E234" s="393"/>
      <c r="F234" s="393"/>
      <c r="G234" s="393"/>
      <c r="H234" s="399">
        <v>20000</v>
      </c>
    </row>
    <row r="235" spans="2:8" ht="15.75" thickBot="1">
      <c r="B235" s="1293" t="s">
        <v>189</v>
      </c>
      <c r="C235" s="393"/>
      <c r="D235" s="393"/>
      <c r="E235" s="393"/>
      <c r="F235" s="393"/>
      <c r="G235" s="393"/>
      <c r="H235" s="399"/>
    </row>
    <row r="236" spans="3:9" ht="15.75" thickBot="1">
      <c r="C236" s="393"/>
      <c r="D236" s="393"/>
      <c r="E236" s="393"/>
      <c r="F236" s="393"/>
      <c r="G236" s="393"/>
      <c r="H236" s="840">
        <f>SUM(H231,H190,H174,H167,H157,H150,H146,H142,H138,H207,H211,H233,H234)</f>
        <v>58742</v>
      </c>
      <c r="I236" s="1283"/>
    </row>
    <row r="237" spans="3:8" ht="15">
      <c r="C237" s="393"/>
      <c r="D237" s="393"/>
      <c r="E237" s="393"/>
      <c r="F237" s="393"/>
      <c r="G237" s="393"/>
      <c r="H237" s="399"/>
    </row>
    <row r="238" spans="2:9" ht="15">
      <c r="B238" s="1293" t="s">
        <v>1539</v>
      </c>
      <c r="C238" s="393"/>
      <c r="D238" s="393"/>
      <c r="E238" s="393"/>
      <c r="F238" s="393"/>
      <c r="G238" s="393"/>
      <c r="H238" s="399"/>
      <c r="I238">
        <v>430000</v>
      </c>
    </row>
    <row r="239" spans="2:8" ht="15">
      <c r="B239" s="1293" t="s">
        <v>568</v>
      </c>
      <c r="C239" s="393"/>
      <c r="D239" s="393" t="s">
        <v>1807</v>
      </c>
      <c r="E239" s="393"/>
      <c r="F239" s="393"/>
      <c r="G239" s="393"/>
      <c r="H239" s="393"/>
    </row>
    <row r="240" spans="3:8" ht="15">
      <c r="C240" s="393"/>
      <c r="E240" s="393" t="s">
        <v>660</v>
      </c>
      <c r="F240" s="393"/>
      <c r="G240" s="393"/>
      <c r="H240" s="398">
        <v>125970</v>
      </c>
    </row>
    <row r="241" spans="3:8" ht="15">
      <c r="C241" s="393"/>
      <c r="E241" s="393" t="s">
        <v>1327</v>
      </c>
      <c r="G241" s="393"/>
      <c r="H241" s="398">
        <v>12000</v>
      </c>
    </row>
    <row r="242" spans="3:8" ht="15">
      <c r="C242" s="393"/>
      <c r="E242" s="393" t="s">
        <v>1328</v>
      </c>
      <c r="F242" s="393" t="s">
        <v>500</v>
      </c>
      <c r="G242" s="393"/>
      <c r="H242" s="398">
        <v>7200</v>
      </c>
    </row>
    <row r="243" spans="3:13" ht="15">
      <c r="C243" s="393"/>
      <c r="E243" s="393" t="s">
        <v>501</v>
      </c>
      <c r="F243" s="398"/>
      <c r="G243" s="393"/>
      <c r="H243" s="398"/>
      <c r="J243">
        <v>1000</v>
      </c>
      <c r="M243">
        <v>1000</v>
      </c>
    </row>
    <row r="244" spans="3:13" ht="15">
      <c r="C244" s="393"/>
      <c r="E244" s="393" t="s">
        <v>1387</v>
      </c>
      <c r="F244" s="398"/>
      <c r="G244" s="393"/>
      <c r="H244" s="442" t="s">
        <v>318</v>
      </c>
      <c r="M244">
        <v>3000</v>
      </c>
    </row>
    <row r="245" spans="2:8" ht="15">
      <c r="B245" s="1293" t="s">
        <v>862</v>
      </c>
      <c r="C245" s="393"/>
      <c r="D245" s="393"/>
      <c r="E245" s="393"/>
      <c r="F245" s="398"/>
      <c r="G245" s="393"/>
      <c r="H245" s="398">
        <v>2000</v>
      </c>
    </row>
    <row r="246" spans="2:12" ht="15">
      <c r="B246" s="1293" t="s">
        <v>502</v>
      </c>
      <c r="C246" s="393"/>
      <c r="D246" s="393"/>
      <c r="E246" s="393" t="s">
        <v>1808</v>
      </c>
      <c r="G246" s="393"/>
      <c r="H246" s="399">
        <v>22800</v>
      </c>
      <c r="I246" s="1"/>
      <c r="J246" s="1"/>
      <c r="K246" s="1"/>
      <c r="L246" s="1"/>
    </row>
    <row r="247" spans="2:12" ht="15">
      <c r="B247" s="1293" t="s">
        <v>529</v>
      </c>
      <c r="C247" s="393"/>
      <c r="D247" s="393"/>
      <c r="E247" s="393" t="s">
        <v>425</v>
      </c>
      <c r="G247" s="393"/>
      <c r="H247" s="1"/>
      <c r="I247" s="1"/>
      <c r="J247" s="1"/>
      <c r="K247" s="1"/>
      <c r="L247" s="399">
        <v>30000</v>
      </c>
    </row>
    <row r="248" spans="8:13" ht="15.75" thickBot="1">
      <c r="H248" s="19"/>
      <c r="I248" s="856"/>
      <c r="J248" s="856"/>
      <c r="K248" s="856"/>
      <c r="L248" s="856"/>
      <c r="M248" s="856"/>
    </row>
    <row r="249" spans="8:13" ht="15.75" thickBot="1">
      <c r="H249" s="841">
        <f aca="true" t="shared" si="0" ref="H249:M249">SUM(H238:H248)</f>
        <v>169970</v>
      </c>
      <c r="I249" s="1281">
        <f t="shared" si="0"/>
        <v>430000</v>
      </c>
      <c r="J249" s="1281">
        <f t="shared" si="0"/>
        <v>1000</v>
      </c>
      <c r="K249" s="1281">
        <f t="shared" si="0"/>
        <v>0</v>
      </c>
      <c r="L249" s="1281">
        <f t="shared" si="0"/>
        <v>30000</v>
      </c>
      <c r="M249" s="1282">
        <f t="shared" si="0"/>
        <v>4000</v>
      </c>
    </row>
    <row r="252" spans="1:5" s="662" customFormat="1" ht="15.75">
      <c r="A252" s="1262"/>
      <c r="B252" s="1294"/>
      <c r="E252" s="663" t="s">
        <v>510</v>
      </c>
    </row>
    <row r="253" spans="1:5" s="662" customFormat="1" ht="15.75">
      <c r="A253" s="1262"/>
      <c r="B253" s="1294"/>
      <c r="E253" s="663" t="s">
        <v>167</v>
      </c>
    </row>
    <row r="254" spans="1:5" s="662" customFormat="1" ht="15.75">
      <c r="A254" s="1262"/>
      <c r="B254" s="1294"/>
      <c r="E254" s="663" t="s">
        <v>168</v>
      </c>
    </row>
    <row r="255" spans="1:9" ht="15">
      <c r="A255" s="397"/>
      <c r="C255" s="4"/>
      <c r="D255" s="4" t="s">
        <v>987</v>
      </c>
      <c r="E255" s="394" t="s">
        <v>772</v>
      </c>
      <c r="F255" s="4"/>
      <c r="G255" s="4"/>
      <c r="H255" s="4" t="s">
        <v>935</v>
      </c>
      <c r="I255" s="4" t="s">
        <v>935</v>
      </c>
    </row>
    <row r="256" spans="1:9" ht="15.75">
      <c r="A256" s="893">
        <v>1</v>
      </c>
      <c r="B256" s="1293" t="s">
        <v>169</v>
      </c>
      <c r="C256" s="15"/>
      <c r="D256" s="4">
        <v>7</v>
      </c>
      <c r="E256" s="4">
        <v>1000</v>
      </c>
      <c r="F256" s="4"/>
      <c r="G256" s="4"/>
      <c r="H256" s="4">
        <v>198</v>
      </c>
      <c r="I256" s="4"/>
    </row>
    <row r="257" spans="1:9" ht="15.75">
      <c r="A257" s="893">
        <v>2</v>
      </c>
      <c r="B257" s="1293" t="s">
        <v>238</v>
      </c>
      <c r="C257" s="15"/>
      <c r="D257" s="4">
        <v>7</v>
      </c>
      <c r="E257" s="4">
        <v>1000</v>
      </c>
      <c r="F257" s="4"/>
      <c r="G257" s="4"/>
      <c r="H257" s="4">
        <f>D257*E257</f>
        <v>7000</v>
      </c>
      <c r="I257" s="4"/>
    </row>
    <row r="258" spans="1:9" ht="15.75">
      <c r="A258" s="893">
        <v>3</v>
      </c>
      <c r="B258" s="1293" t="s">
        <v>239</v>
      </c>
      <c r="C258" s="15"/>
      <c r="D258" s="4">
        <v>7</v>
      </c>
      <c r="E258" s="4">
        <v>1000</v>
      </c>
      <c r="F258" s="4"/>
      <c r="G258" s="4"/>
      <c r="H258" s="4">
        <f>D258*E258</f>
        <v>7000</v>
      </c>
      <c r="I258" s="4"/>
    </row>
    <row r="259" spans="1:9" ht="15.75">
      <c r="A259" s="893">
        <v>4</v>
      </c>
      <c r="B259" s="1293" t="s">
        <v>240</v>
      </c>
      <c r="C259" s="15"/>
      <c r="D259" s="4">
        <v>2</v>
      </c>
      <c r="E259" s="4">
        <v>1400</v>
      </c>
      <c r="F259" s="4"/>
      <c r="G259" s="4"/>
      <c r="H259" s="4">
        <f>D259*E259</f>
        <v>2800</v>
      </c>
      <c r="I259" s="4"/>
    </row>
    <row r="260" spans="1:9" ht="15.75">
      <c r="A260" s="893">
        <v>5</v>
      </c>
      <c r="B260" s="1293" t="s">
        <v>241</v>
      </c>
      <c r="C260" s="15"/>
      <c r="D260" s="4">
        <v>4</v>
      </c>
      <c r="E260" s="4">
        <v>50</v>
      </c>
      <c r="F260" s="4"/>
      <c r="G260" s="4"/>
      <c r="I260" s="4">
        <f>D260*E260</f>
        <v>200</v>
      </c>
    </row>
    <row r="261" spans="1:9" ht="15.75">
      <c r="A261" s="893">
        <v>6</v>
      </c>
      <c r="B261" s="1293" t="s">
        <v>242</v>
      </c>
      <c r="C261" s="15"/>
      <c r="D261" s="4">
        <v>1</v>
      </c>
      <c r="E261" s="4">
        <v>1500</v>
      </c>
      <c r="F261" s="4"/>
      <c r="G261" s="4"/>
      <c r="I261" s="4">
        <f>D261*E261</f>
        <v>1500</v>
      </c>
    </row>
    <row r="262" spans="1:9" s="1623" customFormat="1" ht="15.75">
      <c r="A262" s="1619">
        <v>7</v>
      </c>
      <c r="B262" s="1620" t="s">
        <v>243</v>
      </c>
      <c r="C262" s="1621"/>
      <c r="D262" s="1622">
        <v>2</v>
      </c>
      <c r="E262" s="1622">
        <v>6500</v>
      </c>
      <c r="F262" s="1622"/>
      <c r="G262" s="1622"/>
      <c r="H262" s="1622">
        <f>D262*E262</f>
        <v>13000</v>
      </c>
      <c r="I262" s="1622"/>
    </row>
    <row r="263" spans="1:9" s="1623" customFormat="1" ht="15.75">
      <c r="A263" s="1619">
        <v>8</v>
      </c>
      <c r="B263" s="1620" t="s">
        <v>244</v>
      </c>
      <c r="C263" s="1621"/>
      <c r="D263" s="1622">
        <v>2</v>
      </c>
      <c r="E263" s="1622">
        <v>6500</v>
      </c>
      <c r="F263" s="1622"/>
      <c r="G263" s="1622"/>
      <c r="H263" s="1622">
        <f>D263*E263</f>
        <v>13000</v>
      </c>
      <c r="I263" s="1622"/>
    </row>
    <row r="264" spans="1:9" ht="15.75">
      <c r="A264" s="893">
        <v>9</v>
      </c>
      <c r="B264" s="1293" t="s">
        <v>246</v>
      </c>
      <c r="C264" s="15"/>
      <c r="D264" s="4">
        <v>30</v>
      </c>
      <c r="E264" s="4">
        <v>5</v>
      </c>
      <c r="F264" s="4"/>
      <c r="G264" s="4"/>
      <c r="H264" s="4">
        <f>D264*E264</f>
        <v>150</v>
      </c>
      <c r="I264" s="4"/>
    </row>
    <row r="265" spans="1:9" ht="16.5" thickBot="1">
      <c r="A265" s="893">
        <v>10</v>
      </c>
      <c r="B265" s="1293" t="s">
        <v>247</v>
      </c>
      <c r="C265" s="15"/>
      <c r="D265" s="4"/>
      <c r="E265" s="4"/>
      <c r="F265" s="4"/>
      <c r="G265" s="4"/>
      <c r="H265" s="13">
        <v>6000</v>
      </c>
      <c r="I265" s="4"/>
    </row>
    <row r="266" spans="3:9" ht="16.5" thickBot="1">
      <c r="C266" s="15"/>
      <c r="D266" s="4"/>
      <c r="E266" s="4"/>
      <c r="F266" s="4"/>
      <c r="G266" s="4"/>
      <c r="H266" s="840">
        <f>SUM(H256:H265)</f>
        <v>49148</v>
      </c>
      <c r="I266" s="839">
        <f>SUM(I256:I265)</f>
        <v>1700</v>
      </c>
    </row>
    <row r="267" spans="1:8" ht="15.75">
      <c r="A267" s="838"/>
      <c r="B267" s="1294"/>
      <c r="C267" s="664"/>
      <c r="D267" s="662"/>
      <c r="E267" s="662"/>
      <c r="F267" s="662"/>
      <c r="G267" s="662"/>
      <c r="H267" s="11"/>
    </row>
    <row r="268" spans="1:8" ht="15.75">
      <c r="A268" s="838"/>
      <c r="B268" s="1294"/>
      <c r="C268" s="664"/>
      <c r="D268" s="662"/>
      <c r="E268" s="662"/>
      <c r="F268" s="662"/>
      <c r="G268" s="662"/>
      <c r="H268" s="11"/>
    </row>
    <row r="269" spans="1:8" s="30" customFormat="1" ht="15.75">
      <c r="A269" s="1297"/>
      <c r="B269" s="1293"/>
      <c r="C269" s="664"/>
      <c r="D269" s="1263"/>
      <c r="E269" s="663" t="s">
        <v>855</v>
      </c>
      <c r="F269" s="1263"/>
      <c r="G269" s="1263"/>
      <c r="H269" s="664"/>
    </row>
    <row r="270" spans="1:8" s="395" customFormat="1" ht="15.75">
      <c r="A270" s="1297"/>
      <c r="B270" s="1294"/>
      <c r="C270" s="1260"/>
      <c r="D270" s="1260"/>
      <c r="E270" s="1261" t="s">
        <v>856</v>
      </c>
      <c r="F270" s="1260"/>
      <c r="G270" s="1260"/>
      <c r="H270" s="1260"/>
    </row>
    <row r="271" spans="1:8" ht="16.5" thickBot="1">
      <c r="A271" s="838"/>
      <c r="B271" s="1294"/>
      <c r="C271" s="664"/>
      <c r="D271" s="662"/>
      <c r="E271" s="662"/>
      <c r="F271" s="662"/>
      <c r="G271" s="662"/>
      <c r="H271" s="11"/>
    </row>
    <row r="272" spans="1:8" s="4" customFormat="1" ht="15.75" thickBot="1">
      <c r="A272" s="893"/>
      <c r="B272" s="1293" t="s">
        <v>857</v>
      </c>
      <c r="C272" s="1266" t="s">
        <v>773</v>
      </c>
      <c r="D272" s="1266" t="s">
        <v>1558</v>
      </c>
      <c r="E272" s="680" t="s">
        <v>1559</v>
      </c>
      <c r="F272" s="680">
        <v>15</v>
      </c>
      <c r="G272" s="1266"/>
      <c r="H272" s="1267">
        <v>6720</v>
      </c>
    </row>
    <row r="273" spans="1:8" ht="15.75">
      <c r="A273" s="838"/>
      <c r="B273" s="1294"/>
      <c r="C273" s="664"/>
      <c r="D273" s="662"/>
      <c r="E273" s="662"/>
      <c r="F273" s="662"/>
      <c r="G273" s="662"/>
      <c r="H273" s="11"/>
    </row>
    <row r="274" spans="1:8" ht="15.75">
      <c r="A274" s="1262"/>
      <c r="B274" s="1294"/>
      <c r="C274" s="662"/>
      <c r="D274" s="662"/>
      <c r="E274" s="663" t="s">
        <v>510</v>
      </c>
      <c r="F274" s="662"/>
      <c r="G274" s="662"/>
      <c r="H274" s="662"/>
    </row>
    <row r="275" spans="1:8" ht="15.75">
      <c r="A275" s="1262"/>
      <c r="B275" s="1294"/>
      <c r="C275" s="662"/>
      <c r="D275" s="662"/>
      <c r="E275" s="663" t="s">
        <v>248</v>
      </c>
      <c r="F275" s="662"/>
      <c r="G275" s="662"/>
      <c r="H275" s="662"/>
    </row>
    <row r="276" spans="1:8" ht="15.75">
      <c r="A276" s="1262"/>
      <c r="B276" s="1294"/>
      <c r="C276" s="662"/>
      <c r="D276" s="662"/>
      <c r="E276" s="663" t="s">
        <v>1080</v>
      </c>
      <c r="F276" s="662"/>
      <c r="G276" s="662"/>
      <c r="H276" s="662"/>
    </row>
    <row r="277" spans="1:8" ht="15.75">
      <c r="A277" s="1262"/>
      <c r="B277" s="1294"/>
      <c r="C277" s="662"/>
      <c r="D277" s="662"/>
      <c r="E277" s="663"/>
      <c r="F277" s="662"/>
      <c r="G277" s="662"/>
      <c r="H277" s="662"/>
    </row>
    <row r="278" spans="1:8" s="4" customFormat="1" ht="15.75">
      <c r="A278" s="1298">
        <v>1</v>
      </c>
      <c r="B278" s="1293" t="s">
        <v>249</v>
      </c>
      <c r="C278" s="15"/>
      <c r="D278" s="4">
        <v>3</v>
      </c>
      <c r="E278" s="4">
        <v>1500</v>
      </c>
      <c r="H278" s="4">
        <f>D278*E278</f>
        <v>4500</v>
      </c>
    </row>
    <row r="279" spans="1:8" s="4" customFormat="1" ht="15.75">
      <c r="A279" s="1298">
        <v>2</v>
      </c>
      <c r="B279" s="1293" t="s">
        <v>238</v>
      </c>
      <c r="C279" s="15"/>
      <c r="D279" s="4">
        <v>3</v>
      </c>
      <c r="E279" s="4">
        <v>1500</v>
      </c>
      <c r="H279" s="4">
        <f aca="true" t="shared" si="1" ref="H279:H285">D279*E279</f>
        <v>4500</v>
      </c>
    </row>
    <row r="280" spans="1:8" s="4" customFormat="1" ht="15.75">
      <c r="A280" s="1298">
        <v>3</v>
      </c>
      <c r="B280" s="1293" t="s">
        <v>239</v>
      </c>
      <c r="C280" s="15"/>
      <c r="D280" s="4">
        <v>3</v>
      </c>
      <c r="E280" s="4">
        <v>2000</v>
      </c>
      <c r="H280" s="4">
        <f t="shared" si="1"/>
        <v>6000</v>
      </c>
    </row>
    <row r="281" spans="1:9" s="4" customFormat="1" ht="15.75">
      <c r="A281" s="1298">
        <v>4</v>
      </c>
      <c r="B281" s="1293" t="s">
        <v>245</v>
      </c>
      <c r="C281" s="15"/>
      <c r="D281" s="4">
        <v>1</v>
      </c>
      <c r="E281" s="4">
        <v>6000</v>
      </c>
      <c r="I281" s="4">
        <f>D281*E281</f>
        <v>6000</v>
      </c>
    </row>
    <row r="282" spans="1:9" s="4" customFormat="1" ht="15.75">
      <c r="A282" s="1298">
        <v>5</v>
      </c>
      <c r="B282" s="1293" t="s">
        <v>1592</v>
      </c>
      <c r="C282" s="15"/>
      <c r="D282" s="4">
        <v>5</v>
      </c>
      <c r="E282" s="4">
        <v>1000</v>
      </c>
      <c r="I282" s="4">
        <f>D282*E282</f>
        <v>5000</v>
      </c>
    </row>
    <row r="283" spans="1:9" s="4" customFormat="1" ht="15.75">
      <c r="A283" s="1298">
        <v>6</v>
      </c>
      <c r="B283" s="1293" t="s">
        <v>1396</v>
      </c>
      <c r="C283" s="15"/>
      <c r="D283" s="4">
        <v>10</v>
      </c>
      <c r="E283" s="4">
        <v>150</v>
      </c>
      <c r="I283" s="4">
        <f>D283*E283</f>
        <v>1500</v>
      </c>
    </row>
    <row r="284" spans="1:8" s="4" customFormat="1" ht="15.75">
      <c r="A284" s="1298">
        <v>7</v>
      </c>
      <c r="B284" s="1293" t="s">
        <v>250</v>
      </c>
      <c r="C284" s="15"/>
      <c r="D284" s="4">
        <v>1</v>
      </c>
      <c r="E284" s="4">
        <v>600</v>
      </c>
      <c r="H284" s="4">
        <f t="shared" si="1"/>
        <v>600</v>
      </c>
    </row>
    <row r="285" spans="1:8" s="4" customFormat="1" ht="15.75">
      <c r="A285" s="1298">
        <v>8</v>
      </c>
      <c r="B285" s="1293" t="s">
        <v>241</v>
      </c>
      <c r="C285" s="15"/>
      <c r="D285" s="4">
        <v>8</v>
      </c>
      <c r="E285" s="4">
        <v>50</v>
      </c>
      <c r="H285" s="4">
        <f t="shared" si="1"/>
        <v>400</v>
      </c>
    </row>
    <row r="286" spans="1:9" s="4" customFormat="1" ht="15.75">
      <c r="A286" s="1298">
        <v>9</v>
      </c>
      <c r="B286" s="1293" t="s">
        <v>242</v>
      </c>
      <c r="C286" s="15"/>
      <c r="D286" s="4">
        <v>1</v>
      </c>
      <c r="E286" s="4">
        <v>1500</v>
      </c>
      <c r="I286" s="4">
        <f>D286*E286</f>
        <v>1500</v>
      </c>
    </row>
    <row r="287" spans="1:9" s="4" customFormat="1" ht="16.5" thickBot="1">
      <c r="A287" s="1298">
        <v>10</v>
      </c>
      <c r="B287" s="1293" t="s">
        <v>251</v>
      </c>
      <c r="C287" s="15"/>
      <c r="D287" s="4">
        <v>2</v>
      </c>
      <c r="E287" s="4">
        <v>2100</v>
      </c>
      <c r="I287" s="13">
        <v>3000</v>
      </c>
    </row>
    <row r="288" spans="1:10" s="4" customFormat="1" ht="16.5" thickBot="1">
      <c r="A288" s="1298"/>
      <c r="B288" s="1293"/>
      <c r="C288" s="15"/>
      <c r="H288" s="1284">
        <f>SUM(H278:H287)</f>
        <v>16000</v>
      </c>
      <c r="I288" s="1285">
        <f>SUM(I278:I287)</f>
        <v>17000</v>
      </c>
      <c r="J288" s="1286"/>
    </row>
    <row r="289" spans="1:8" ht="15.75">
      <c r="A289" s="838"/>
      <c r="B289" s="1294"/>
      <c r="C289" s="395"/>
      <c r="D289" s="393"/>
      <c r="E289" s="662"/>
      <c r="G289" s="393"/>
      <c r="H289" s="38"/>
    </row>
    <row r="290" spans="1:8" ht="15.75">
      <c r="A290" s="838"/>
      <c r="B290" s="1294"/>
      <c r="C290" s="395"/>
      <c r="D290" s="393"/>
      <c r="E290" s="663" t="s">
        <v>719</v>
      </c>
      <c r="G290" s="393"/>
      <c r="H290" s="38"/>
    </row>
    <row r="291" spans="1:8" ht="15.75">
      <c r="A291" s="838"/>
      <c r="B291" s="1294"/>
      <c r="C291" s="395"/>
      <c r="D291" s="393"/>
      <c r="E291" s="663"/>
      <c r="G291" s="393"/>
      <c r="H291" s="38"/>
    </row>
    <row r="292" spans="1:10" s="393" customFormat="1" ht="15">
      <c r="A292" s="893">
        <v>1</v>
      </c>
      <c r="B292" s="1293" t="s">
        <v>720</v>
      </c>
      <c r="C292" s="892"/>
      <c r="J292" s="1121">
        <v>6000</v>
      </c>
    </row>
    <row r="293" spans="1:10" s="393" customFormat="1" ht="15">
      <c r="A293" s="893">
        <v>2</v>
      </c>
      <c r="B293" s="1293" t="s">
        <v>721</v>
      </c>
      <c r="C293" s="892"/>
      <c r="J293" s="1121">
        <v>5000</v>
      </c>
    </row>
    <row r="294" spans="1:10" s="393" customFormat="1" ht="15">
      <c r="A294" s="893">
        <v>3</v>
      </c>
      <c r="B294" s="1293" t="s">
        <v>722</v>
      </c>
      <c r="C294" s="892"/>
      <c r="J294" s="1121">
        <v>10000</v>
      </c>
    </row>
    <row r="295" spans="1:10" s="393" customFormat="1" ht="15">
      <c r="A295" s="893">
        <v>4</v>
      </c>
      <c r="B295" s="1293" t="s">
        <v>723</v>
      </c>
      <c r="C295" s="892"/>
      <c r="J295" s="1121">
        <v>1000</v>
      </c>
    </row>
    <row r="296" spans="1:10" s="393" customFormat="1" ht="15">
      <c r="A296" s="893">
        <v>5</v>
      </c>
      <c r="B296" s="1293" t="s">
        <v>724</v>
      </c>
      <c r="C296" s="892"/>
      <c r="J296" s="1121">
        <v>1000</v>
      </c>
    </row>
    <row r="297" spans="1:10" s="393" customFormat="1" ht="15">
      <c r="A297" s="893">
        <v>6</v>
      </c>
      <c r="B297" s="1293" t="s">
        <v>1529</v>
      </c>
      <c r="C297" s="892"/>
      <c r="J297" s="1121">
        <v>1000</v>
      </c>
    </row>
    <row r="298" spans="1:10" s="393" customFormat="1" ht="15.75" thickBot="1">
      <c r="A298" s="893">
        <v>7</v>
      </c>
      <c r="B298" s="1293" t="s">
        <v>801</v>
      </c>
      <c r="C298" s="892"/>
      <c r="J298" s="1121">
        <v>5000</v>
      </c>
    </row>
    <row r="299" spans="1:10" s="4" customFormat="1" ht="16.5" thickBot="1">
      <c r="A299" s="893"/>
      <c r="B299" s="1293"/>
      <c r="C299" s="15"/>
      <c r="I299" s="1287"/>
      <c r="J299" s="1288">
        <f>SUM(J292:J298)</f>
        <v>29000</v>
      </c>
    </row>
    <row r="300" spans="1:8" ht="15.75">
      <c r="A300" s="838"/>
      <c r="B300" s="1294"/>
      <c r="C300" s="395"/>
      <c r="D300" s="393"/>
      <c r="E300" s="662"/>
      <c r="G300" s="393"/>
      <c r="H300" s="38"/>
    </row>
    <row r="301" spans="1:8" ht="15.75">
      <c r="A301" s="838"/>
      <c r="B301" s="1294"/>
      <c r="C301" s="395"/>
      <c r="D301" s="393"/>
      <c r="E301" s="663" t="s">
        <v>1595</v>
      </c>
      <c r="G301" s="393"/>
      <c r="H301" s="38"/>
    </row>
    <row r="302" spans="2:8" ht="15.75">
      <c r="B302" s="1294"/>
      <c r="C302" s="395"/>
      <c r="D302" s="393"/>
      <c r="E302" s="663" t="s">
        <v>1596</v>
      </c>
      <c r="G302" s="393"/>
      <c r="H302" s="393"/>
    </row>
    <row r="303" spans="2:8" ht="15.75">
      <c r="B303" s="1294"/>
      <c r="C303" s="395"/>
      <c r="D303" s="4" t="s">
        <v>987</v>
      </c>
      <c r="E303" s="394" t="s">
        <v>772</v>
      </c>
      <c r="G303" s="393"/>
      <c r="H303" s="393"/>
    </row>
    <row r="304" spans="1:8" s="893" customFormat="1" ht="15">
      <c r="A304" s="893">
        <v>1</v>
      </c>
      <c r="B304" s="1293" t="s">
        <v>1804</v>
      </c>
      <c r="C304" s="892"/>
      <c r="D304" s="893">
        <v>2</v>
      </c>
      <c r="E304" s="1268">
        <v>500</v>
      </c>
      <c r="H304" s="893">
        <v>1000</v>
      </c>
    </row>
    <row r="305" spans="1:8" s="893" customFormat="1" ht="15">
      <c r="A305" s="893">
        <v>2</v>
      </c>
      <c r="B305" s="1293" t="s">
        <v>1597</v>
      </c>
      <c r="C305" s="892"/>
      <c r="D305" s="893">
        <v>100</v>
      </c>
      <c r="E305" s="1268">
        <v>20</v>
      </c>
      <c r="H305" s="893">
        <f>D305*E305</f>
        <v>2000</v>
      </c>
    </row>
    <row r="306" spans="1:9" s="893" customFormat="1" ht="15">
      <c r="A306" s="893">
        <v>3</v>
      </c>
      <c r="B306" s="1293" t="s">
        <v>1802</v>
      </c>
      <c r="C306" s="892"/>
      <c r="D306" s="893">
        <v>1</v>
      </c>
      <c r="E306" s="1268">
        <v>7000</v>
      </c>
      <c r="I306" s="893">
        <f>D306*E306</f>
        <v>7000</v>
      </c>
    </row>
    <row r="307" spans="1:9" s="893" customFormat="1" ht="15">
      <c r="A307" s="893">
        <v>4</v>
      </c>
      <c r="B307" s="1293" t="s">
        <v>1803</v>
      </c>
      <c r="C307" s="892"/>
      <c r="D307" s="893">
        <v>1</v>
      </c>
      <c r="E307" s="1268">
        <v>7000</v>
      </c>
      <c r="I307" s="893">
        <f>D307*E307</f>
        <v>7000</v>
      </c>
    </row>
    <row r="308" spans="1:9" s="893" customFormat="1" ht="15.75" thickBot="1">
      <c r="A308" s="893">
        <v>5</v>
      </c>
      <c r="B308" s="1293" t="s">
        <v>1801</v>
      </c>
      <c r="D308" s="893">
        <v>1</v>
      </c>
      <c r="E308" s="1268">
        <v>8000</v>
      </c>
      <c r="I308" s="893">
        <f>D308*E308</f>
        <v>8000</v>
      </c>
    </row>
    <row r="309" spans="8:10" ht="15.75" thickBot="1">
      <c r="H309" s="841">
        <f>SUM(H305:H308)</f>
        <v>2000</v>
      </c>
      <c r="I309" s="1281">
        <f>SUM(I305:I308)</f>
        <v>22000</v>
      </c>
      <c r="J309" s="1283"/>
    </row>
    <row r="311" ht="15">
      <c r="E311" s="1269" t="s">
        <v>1805</v>
      </c>
    </row>
    <row r="312" spans="4:6" ht="15">
      <c r="D312" s="4" t="s">
        <v>987</v>
      </c>
      <c r="E312" s="394" t="s">
        <v>772</v>
      </c>
      <c r="F312" s="394" t="s">
        <v>318</v>
      </c>
    </row>
    <row r="313" spans="1:8" ht="15">
      <c r="A313" s="893">
        <v>1</v>
      </c>
      <c r="B313" s="1293" t="s">
        <v>29</v>
      </c>
      <c r="D313">
        <v>150</v>
      </c>
      <c r="E313">
        <v>18</v>
      </c>
      <c r="H313">
        <f>D313*E313</f>
        <v>2700</v>
      </c>
    </row>
    <row r="314" spans="1:8" ht="15">
      <c r="A314" s="893">
        <v>2</v>
      </c>
      <c r="B314" s="1293" t="s">
        <v>1695</v>
      </c>
      <c r="D314">
        <v>12</v>
      </c>
      <c r="E314">
        <v>8</v>
      </c>
      <c r="H314">
        <f>D314*E314</f>
        <v>96</v>
      </c>
    </row>
    <row r="315" spans="1:11" ht="15">
      <c r="A315" s="893">
        <v>3</v>
      </c>
      <c r="B315" s="1293" t="s">
        <v>30</v>
      </c>
      <c r="D315">
        <v>43</v>
      </c>
      <c r="E315">
        <v>35</v>
      </c>
      <c r="K315">
        <f>D315*E315</f>
        <v>1505</v>
      </c>
    </row>
    <row r="316" spans="1:8" ht="15">
      <c r="A316" s="893">
        <v>4</v>
      </c>
      <c r="B316" s="1293" t="s">
        <v>31</v>
      </c>
      <c r="D316">
        <v>10</v>
      </c>
      <c r="E316">
        <v>20</v>
      </c>
      <c r="H316">
        <f>D316*E316</f>
        <v>200</v>
      </c>
    </row>
    <row r="317" spans="1:8" ht="15">
      <c r="A317" s="893">
        <v>5</v>
      </c>
      <c r="B317" s="1293" t="s">
        <v>32</v>
      </c>
      <c r="D317">
        <v>12</v>
      </c>
      <c r="E317">
        <v>8</v>
      </c>
      <c r="H317">
        <f>D317*E317</f>
        <v>96</v>
      </c>
    </row>
    <row r="318" spans="1:8" ht="15">
      <c r="A318" s="893">
        <v>6</v>
      </c>
      <c r="B318" s="1293" t="s">
        <v>33</v>
      </c>
      <c r="D318">
        <v>4</v>
      </c>
      <c r="E318">
        <v>40</v>
      </c>
      <c r="H318">
        <f>D318*E318</f>
        <v>160</v>
      </c>
    </row>
    <row r="319" spans="1:8" ht="15">
      <c r="A319" s="893">
        <v>7</v>
      </c>
      <c r="B319" s="1293" t="s">
        <v>37</v>
      </c>
      <c r="D319">
        <v>1</v>
      </c>
      <c r="E319">
        <v>40</v>
      </c>
      <c r="H319">
        <f>D319*E319</f>
        <v>40</v>
      </c>
    </row>
    <row r="320" spans="1:8" ht="15">
      <c r="A320" s="893">
        <v>8</v>
      </c>
      <c r="B320" s="1293" t="s">
        <v>34</v>
      </c>
      <c r="D320">
        <v>12</v>
      </c>
      <c r="E320">
        <v>6</v>
      </c>
      <c r="H320">
        <f>D320*E320</f>
        <v>72</v>
      </c>
    </row>
    <row r="321" spans="1:10" ht="15">
      <c r="A321" s="893">
        <v>9</v>
      </c>
      <c r="B321" s="1293" t="s">
        <v>35</v>
      </c>
      <c r="J321">
        <v>500</v>
      </c>
    </row>
    <row r="322" spans="1:11" ht="15.75" thickBot="1">
      <c r="A322" s="893">
        <v>10</v>
      </c>
      <c r="B322" s="1293" t="s">
        <v>36</v>
      </c>
      <c r="H322" s="856"/>
      <c r="I322" s="856"/>
      <c r="J322" s="856">
        <v>1500</v>
      </c>
      <c r="K322" s="856"/>
    </row>
    <row r="323" spans="8:11" ht="15.75" thickBot="1">
      <c r="H323" s="841">
        <f>SUM(H313:H322)</f>
        <v>3364</v>
      </c>
      <c r="I323" s="1281">
        <f>SUM(I313:I322)</f>
        <v>0</v>
      </c>
      <c r="J323" s="1281">
        <f>SUM(J313:J322)</f>
        <v>2000</v>
      </c>
      <c r="K323" s="1282">
        <f>SUM(K313:K322)</f>
        <v>1505</v>
      </c>
    </row>
    <row r="326" ht="15.75">
      <c r="E326" s="663" t="s">
        <v>178</v>
      </c>
    </row>
    <row r="327" spans="4:5" ht="15">
      <c r="D327" s="4" t="s">
        <v>987</v>
      </c>
      <c r="E327" s="394" t="s">
        <v>772</v>
      </c>
    </row>
    <row r="328" spans="1:9" ht="15">
      <c r="A328" s="893">
        <v>1</v>
      </c>
      <c r="B328" s="1293" t="s">
        <v>179</v>
      </c>
      <c r="D328">
        <v>5</v>
      </c>
      <c r="E328">
        <v>100</v>
      </c>
      <c r="I328">
        <f>D328*E328</f>
        <v>500</v>
      </c>
    </row>
    <row r="329" spans="1:8" ht="15">
      <c r="A329" s="893">
        <v>2</v>
      </c>
      <c r="B329" s="1293" t="s">
        <v>1893</v>
      </c>
      <c r="D329">
        <v>5</v>
      </c>
      <c r="E329">
        <v>100</v>
      </c>
      <c r="H329">
        <f>D329*E329</f>
        <v>500</v>
      </c>
    </row>
    <row r="330" spans="1:8" ht="15">
      <c r="A330" s="893">
        <v>3</v>
      </c>
      <c r="B330" s="1293" t="s">
        <v>1894</v>
      </c>
      <c r="D330">
        <v>5</v>
      </c>
      <c r="E330">
        <v>100</v>
      </c>
      <c r="H330">
        <f>D330*E330</f>
        <v>500</v>
      </c>
    </row>
    <row r="331" spans="1:9" ht="15.75" thickBot="1">
      <c r="A331" s="893">
        <v>4</v>
      </c>
      <c r="B331" s="1293" t="s">
        <v>1895</v>
      </c>
      <c r="D331">
        <v>10</v>
      </c>
      <c r="E331">
        <v>50</v>
      </c>
      <c r="H331" s="856">
        <f>D331*E331</f>
        <v>500</v>
      </c>
      <c r="I331" s="856"/>
    </row>
    <row r="332" spans="8:9" ht="15.75" thickBot="1">
      <c r="H332" s="841">
        <f>SUM(H328:H331)</f>
        <v>1500</v>
      </c>
      <c r="I332" s="1282">
        <f>SUM(I328:I331)</f>
        <v>500</v>
      </c>
    </row>
    <row r="336" ht="15.75">
      <c r="E336" s="663" t="s">
        <v>645</v>
      </c>
    </row>
    <row r="337" spans="4:5" ht="15">
      <c r="D337" s="4" t="s">
        <v>987</v>
      </c>
      <c r="E337" s="394" t="s">
        <v>772</v>
      </c>
    </row>
    <row r="338" spans="1:9" ht="15">
      <c r="A338" s="893">
        <v>1</v>
      </c>
      <c r="B338" s="1293" t="s">
        <v>646</v>
      </c>
      <c r="D338">
        <v>1</v>
      </c>
      <c r="E338">
        <v>2000</v>
      </c>
      <c r="I338">
        <f>D338*E338</f>
        <v>2000</v>
      </c>
    </row>
    <row r="339" spans="1:8" ht="15">
      <c r="A339" s="893">
        <v>2</v>
      </c>
      <c r="B339" s="1293" t="s">
        <v>647</v>
      </c>
      <c r="D339">
        <v>1</v>
      </c>
      <c r="E339">
        <v>158</v>
      </c>
      <c r="H339">
        <f>D339*E339</f>
        <v>158</v>
      </c>
    </row>
    <row r="340" spans="1:8" ht="15">
      <c r="A340" s="893">
        <v>3</v>
      </c>
      <c r="B340" s="1293" t="s">
        <v>648</v>
      </c>
      <c r="D340">
        <v>1</v>
      </c>
      <c r="E340">
        <v>300</v>
      </c>
      <c r="H340">
        <f aca="true" t="shared" si="2" ref="H340:H349">D340*E340</f>
        <v>300</v>
      </c>
    </row>
    <row r="341" spans="1:8" ht="15">
      <c r="A341" s="893">
        <v>4</v>
      </c>
      <c r="B341" s="1293" t="s">
        <v>649</v>
      </c>
      <c r="D341">
        <v>1</v>
      </c>
      <c r="E341">
        <v>200</v>
      </c>
      <c r="H341">
        <f t="shared" si="2"/>
        <v>200</v>
      </c>
    </row>
    <row r="342" spans="1:9" ht="15">
      <c r="A342" s="893">
        <v>5</v>
      </c>
      <c r="B342" s="1293" t="s">
        <v>650</v>
      </c>
      <c r="D342">
        <v>10</v>
      </c>
      <c r="E342">
        <v>500</v>
      </c>
      <c r="I342">
        <f>D342*E342</f>
        <v>5000</v>
      </c>
    </row>
    <row r="343" spans="1:8" ht="15">
      <c r="A343" s="893">
        <v>6</v>
      </c>
      <c r="B343" s="1293" t="s">
        <v>651</v>
      </c>
      <c r="D343">
        <v>2</v>
      </c>
      <c r="E343">
        <v>200</v>
      </c>
      <c r="H343">
        <f t="shared" si="2"/>
        <v>400</v>
      </c>
    </row>
    <row r="344" spans="1:8" ht="15">
      <c r="A344" s="893">
        <v>7</v>
      </c>
      <c r="B344" s="1293" t="s">
        <v>652</v>
      </c>
      <c r="D344">
        <v>10</v>
      </c>
      <c r="E344">
        <v>100</v>
      </c>
      <c r="H344">
        <f t="shared" si="2"/>
        <v>1000</v>
      </c>
    </row>
    <row r="345" spans="1:8" ht="15">
      <c r="A345" s="893">
        <v>8</v>
      </c>
      <c r="B345" s="1293" t="s">
        <v>653</v>
      </c>
      <c r="D345">
        <v>2</v>
      </c>
      <c r="E345">
        <v>200</v>
      </c>
      <c r="H345">
        <f t="shared" si="2"/>
        <v>400</v>
      </c>
    </row>
    <row r="346" spans="1:8" ht="15">
      <c r="A346" s="893">
        <v>9</v>
      </c>
      <c r="B346" s="1293" t="s">
        <v>654</v>
      </c>
      <c r="D346">
        <v>2</v>
      </c>
      <c r="E346">
        <v>200</v>
      </c>
      <c r="H346">
        <f t="shared" si="2"/>
        <v>400</v>
      </c>
    </row>
    <row r="347" spans="1:8" ht="15">
      <c r="A347" s="893">
        <v>10</v>
      </c>
      <c r="B347" s="1293" t="s">
        <v>655</v>
      </c>
      <c r="D347">
        <v>100</v>
      </c>
      <c r="E347">
        <v>5</v>
      </c>
      <c r="H347">
        <f t="shared" si="2"/>
        <v>500</v>
      </c>
    </row>
    <row r="348" spans="1:8" ht="15">
      <c r="A348" s="893">
        <v>11</v>
      </c>
      <c r="B348" s="1293" t="s">
        <v>656</v>
      </c>
      <c r="D348">
        <v>100</v>
      </c>
      <c r="E348">
        <v>10</v>
      </c>
      <c r="H348">
        <f t="shared" si="2"/>
        <v>1000</v>
      </c>
    </row>
    <row r="349" spans="1:8" ht="15">
      <c r="A349" s="893">
        <v>12</v>
      </c>
      <c r="B349" s="1293" t="s">
        <v>657</v>
      </c>
      <c r="D349">
        <v>100</v>
      </c>
      <c r="E349">
        <v>18</v>
      </c>
      <c r="H349">
        <f t="shared" si="2"/>
        <v>1800</v>
      </c>
    </row>
    <row r="350" spans="1:9" ht="15">
      <c r="A350" s="893">
        <v>13</v>
      </c>
      <c r="B350" s="1293" t="s">
        <v>658</v>
      </c>
      <c r="D350">
        <v>10</v>
      </c>
      <c r="E350">
        <v>600</v>
      </c>
      <c r="I350">
        <f>D350*E350</f>
        <v>6000</v>
      </c>
    </row>
    <row r="351" spans="1:9" ht="15.75" thickBot="1">
      <c r="A351" s="893">
        <v>14</v>
      </c>
      <c r="B351" s="1293" t="s">
        <v>659</v>
      </c>
      <c r="D351">
        <v>2</v>
      </c>
      <c r="E351">
        <v>100</v>
      </c>
      <c r="I351">
        <f>D351*E351</f>
        <v>200</v>
      </c>
    </row>
    <row r="352" spans="1:9" ht="15">
      <c r="A352" s="893">
        <v>15</v>
      </c>
      <c r="B352" s="1293" t="s">
        <v>919</v>
      </c>
      <c r="D352">
        <v>2</v>
      </c>
      <c r="E352">
        <v>600</v>
      </c>
      <c r="H352" s="1289"/>
      <c r="I352" s="754">
        <f>D352*E352</f>
        <v>1200</v>
      </c>
    </row>
    <row r="353" spans="8:9" ht="15.75" thickBot="1">
      <c r="H353" s="1290">
        <f>SUM(H338:H352)</f>
        <v>6158</v>
      </c>
      <c r="I353" s="1291">
        <f>SUM(I338:I352)</f>
        <v>14400</v>
      </c>
    </row>
    <row r="354" spans="8:9" ht="15">
      <c r="H354" s="7"/>
      <c r="I354" s="7"/>
    </row>
    <row r="355" spans="8:9" ht="15">
      <c r="H355" s="7"/>
      <c r="I355" s="7"/>
    </row>
    <row r="356" spans="2:9" ht="15.75">
      <c r="B356" s="1295" t="s">
        <v>21</v>
      </c>
      <c r="C356" s="1127"/>
      <c r="D356" s="1127"/>
      <c r="E356" s="1127"/>
      <c r="F356" s="1127"/>
      <c r="G356" s="1127"/>
      <c r="H356" s="1127"/>
      <c r="I356" s="1127"/>
    </row>
    <row r="357" spans="2:9" ht="15.75">
      <c r="B357" s="1295" t="s">
        <v>22</v>
      </c>
      <c r="C357" s="1127"/>
      <c r="D357" s="1127"/>
      <c r="E357" s="1127"/>
      <c r="F357" s="1127"/>
      <c r="G357" s="1127"/>
      <c r="H357" s="1127"/>
      <c r="I357" s="1127"/>
    </row>
    <row r="358" spans="4:9" ht="15">
      <c r="D358" s="4" t="s">
        <v>987</v>
      </c>
      <c r="E358" s="394" t="s">
        <v>772</v>
      </c>
      <c r="H358" s="7"/>
      <c r="I358" s="7"/>
    </row>
    <row r="359" spans="1:9" ht="15">
      <c r="A359" s="893">
        <v>1</v>
      </c>
      <c r="B359" s="1293" t="s">
        <v>580</v>
      </c>
      <c r="D359">
        <v>10</v>
      </c>
      <c r="E359">
        <v>2000</v>
      </c>
      <c r="H359">
        <f aca="true" t="shared" si="3" ref="H359:H370">D359*E359</f>
        <v>20000</v>
      </c>
      <c r="I359" s="7"/>
    </row>
    <row r="360" spans="1:9" ht="15">
      <c r="A360" s="893">
        <v>2</v>
      </c>
      <c r="B360" s="1293" t="s">
        <v>1512</v>
      </c>
      <c r="D360">
        <v>10</v>
      </c>
      <c r="E360">
        <v>2000</v>
      </c>
      <c r="H360">
        <f t="shared" si="3"/>
        <v>20000</v>
      </c>
      <c r="I360" s="393"/>
    </row>
    <row r="361" spans="1:9" ht="15">
      <c r="A361" s="893">
        <v>3</v>
      </c>
      <c r="B361" s="1293" t="s">
        <v>1347</v>
      </c>
      <c r="D361">
        <v>5</v>
      </c>
      <c r="E361">
        <v>2500</v>
      </c>
      <c r="H361">
        <f t="shared" si="3"/>
        <v>12500</v>
      </c>
      <c r="I361" s="7"/>
    </row>
    <row r="362" spans="1:9" ht="15">
      <c r="A362" s="893">
        <v>4</v>
      </c>
      <c r="B362" s="1293" t="s">
        <v>984</v>
      </c>
      <c r="D362">
        <v>5</v>
      </c>
      <c r="E362">
        <v>800</v>
      </c>
      <c r="H362">
        <f t="shared" si="3"/>
        <v>4000</v>
      </c>
      <c r="I362" s="7"/>
    </row>
    <row r="363" spans="1:9" ht="15">
      <c r="A363" s="893">
        <v>5</v>
      </c>
      <c r="B363" s="1293" t="s">
        <v>950</v>
      </c>
      <c r="D363">
        <v>2</v>
      </c>
      <c r="E363">
        <v>1000</v>
      </c>
      <c r="H363">
        <f t="shared" si="3"/>
        <v>2000</v>
      </c>
      <c r="I363" s="393"/>
    </row>
    <row r="364" spans="1:9" ht="15">
      <c r="A364" s="893">
        <v>6</v>
      </c>
      <c r="B364" s="1293" t="s">
        <v>1592</v>
      </c>
      <c r="D364">
        <v>5</v>
      </c>
      <c r="E364">
        <v>10400</v>
      </c>
      <c r="I364" s="393">
        <f>D364*E364</f>
        <v>52000</v>
      </c>
    </row>
    <row r="365" spans="1:9" ht="15">
      <c r="A365" s="893">
        <v>7</v>
      </c>
      <c r="B365" s="1293" t="s">
        <v>951</v>
      </c>
      <c r="D365">
        <v>1</v>
      </c>
      <c r="E365">
        <v>1734</v>
      </c>
      <c r="H365">
        <f t="shared" si="3"/>
        <v>1734</v>
      </c>
      <c r="I365" s="7"/>
    </row>
    <row r="366" spans="1:9" ht="15">
      <c r="A366" s="893">
        <v>8</v>
      </c>
      <c r="B366" s="1293" t="s">
        <v>952</v>
      </c>
      <c r="D366">
        <v>3</v>
      </c>
      <c r="E366">
        <v>1000</v>
      </c>
      <c r="H366">
        <f t="shared" si="3"/>
        <v>3000</v>
      </c>
      <c r="I366" s="7"/>
    </row>
    <row r="367" spans="1:9" ht="15">
      <c r="A367" s="893">
        <v>9</v>
      </c>
      <c r="B367" s="1293" t="s">
        <v>953</v>
      </c>
      <c r="D367">
        <v>3</v>
      </c>
      <c r="E367">
        <v>1000</v>
      </c>
      <c r="H367">
        <f t="shared" si="3"/>
        <v>3000</v>
      </c>
      <c r="I367" s="7"/>
    </row>
    <row r="368" spans="1:9" ht="15">
      <c r="A368" s="893">
        <v>10</v>
      </c>
      <c r="B368" s="1293" t="s">
        <v>954</v>
      </c>
      <c r="D368">
        <v>2</v>
      </c>
      <c r="E368">
        <v>1300</v>
      </c>
      <c r="H368">
        <f t="shared" si="3"/>
        <v>2600</v>
      </c>
      <c r="I368" s="7"/>
    </row>
    <row r="369" spans="1:9" ht="15">
      <c r="A369" s="893">
        <v>11</v>
      </c>
      <c r="B369" s="1293" t="s">
        <v>1345</v>
      </c>
      <c r="D369">
        <v>5</v>
      </c>
      <c r="E369">
        <v>2000</v>
      </c>
      <c r="H369">
        <f t="shared" si="3"/>
        <v>10000</v>
      </c>
      <c r="I369" s="7"/>
    </row>
    <row r="370" spans="1:9" ht="15">
      <c r="A370" s="893">
        <v>12</v>
      </c>
      <c r="B370" s="1293" t="s">
        <v>965</v>
      </c>
      <c r="D370">
        <v>4</v>
      </c>
      <c r="E370">
        <v>10000</v>
      </c>
      <c r="H370">
        <f t="shared" si="3"/>
        <v>40000</v>
      </c>
      <c r="I370" s="393"/>
    </row>
    <row r="371" spans="1:9" ht="15">
      <c r="A371" s="893">
        <v>13</v>
      </c>
      <c r="B371" s="1293" t="s">
        <v>966</v>
      </c>
      <c r="D371">
        <v>5</v>
      </c>
      <c r="E371">
        <v>7000</v>
      </c>
      <c r="I371" s="393">
        <f>D371*E371</f>
        <v>35000</v>
      </c>
    </row>
    <row r="372" spans="1:9" ht="15">
      <c r="A372" s="893">
        <v>14</v>
      </c>
      <c r="B372" s="1293" t="s">
        <v>967</v>
      </c>
      <c r="D372">
        <v>5</v>
      </c>
      <c r="E372">
        <v>7000</v>
      </c>
      <c r="H372" s="496"/>
      <c r="I372" s="496">
        <f>D372*E372</f>
        <v>35000</v>
      </c>
    </row>
    <row r="373" spans="1:9" ht="15.75" thickBot="1">
      <c r="A373" s="893">
        <v>15</v>
      </c>
      <c r="B373" s="1293" t="s">
        <v>1810</v>
      </c>
      <c r="D373">
        <v>10</v>
      </c>
      <c r="E373">
        <v>1000</v>
      </c>
      <c r="H373" s="856">
        <f>D373*E373</f>
        <v>10000</v>
      </c>
      <c r="I373" s="856"/>
    </row>
    <row r="374" spans="8:10" ht="15.75" thickBot="1">
      <c r="H374" s="840">
        <f>SUM(H358:H372)</f>
        <v>118834</v>
      </c>
      <c r="I374" s="839">
        <f>SUM(I359:I372)</f>
        <v>122000</v>
      </c>
      <c r="J374" s="838"/>
    </row>
    <row r="378" spans="1:13" s="11" customFormat="1" ht="15">
      <c r="A378" s="838"/>
      <c r="B378" s="1294" t="s">
        <v>484</v>
      </c>
      <c r="E378" s="11">
        <f>SUM(H378:M378)</f>
        <v>1470131</v>
      </c>
      <c r="H378" s="11">
        <f>SUM(H18,H41,H60,H72,H125,H236,H249,H266,H272,H288,H309,H323,H332,H353,H374)</f>
        <v>751476</v>
      </c>
      <c r="I378" s="442">
        <f>SUM(I18,I41,I60,I72,I125,I249,I266,I288,I309,I332,I353,I374)+I323</f>
        <v>652150</v>
      </c>
      <c r="J378" s="11">
        <f>SUM(J299,J323)</f>
        <v>31000</v>
      </c>
      <c r="K378" s="11">
        <f>SUM(K323)</f>
        <v>1505</v>
      </c>
      <c r="L378" s="11">
        <f>SUM(L249)</f>
        <v>30000</v>
      </c>
      <c r="M378" s="11">
        <f>M249</f>
        <v>4000</v>
      </c>
    </row>
  </sheetData>
  <mergeCells count="2">
    <mergeCell ref="F125:G125"/>
    <mergeCell ref="A127:I127"/>
  </mergeCells>
  <printOptions/>
  <pageMargins left="0.7874015748031497" right="0" top="0" bottom="0" header="0" footer="0"/>
  <pageSetup horizontalDpi="300" verticalDpi="30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Normal="75" zoomScaleSheetLayoutView="100" workbookViewId="0" topLeftCell="A1">
      <selection activeCell="D2" sqref="D2:G2"/>
    </sheetView>
  </sheetViews>
  <sheetFormatPr defaultColWidth="9.00390625" defaultRowHeight="12.75"/>
  <cols>
    <col min="1" max="1" width="5.125" style="299" customWidth="1"/>
    <col min="2" max="2" width="67.125" style="0" customWidth="1"/>
    <col min="3" max="3" width="10.00390625" style="0" customWidth="1"/>
    <col min="4" max="4" width="10.375" style="0" customWidth="1"/>
    <col min="5" max="5" width="9.625" style="0" customWidth="1"/>
    <col min="6" max="7" width="10.875" style="0" customWidth="1"/>
    <col min="8" max="8" width="0" style="27" hidden="1" customWidth="1"/>
  </cols>
  <sheetData>
    <row r="1" spans="5:7" ht="12.75">
      <c r="E1" s="24"/>
      <c r="G1" s="680" t="s">
        <v>595</v>
      </c>
    </row>
    <row r="2" spans="4:8" ht="45" customHeight="1">
      <c r="D2" s="1867" t="s">
        <v>86</v>
      </c>
      <c r="E2" s="1867"/>
      <c r="F2" s="1867"/>
      <c r="G2" s="1867"/>
      <c r="H2" s="996"/>
    </row>
    <row r="3" spans="2:8" ht="15.75">
      <c r="B3" s="1977" t="s">
        <v>424</v>
      </c>
      <c r="C3" s="1977"/>
      <c r="D3" s="1977"/>
      <c r="E3" s="1977"/>
      <c r="F3" s="1977"/>
      <c r="G3" s="1977"/>
      <c r="H3" s="996"/>
    </row>
    <row r="4" spans="7:8" ht="13.5" thickBot="1">
      <c r="G4" t="s">
        <v>368</v>
      </c>
      <c r="H4" s="996"/>
    </row>
    <row r="5" spans="1:9" ht="12.75">
      <c r="A5" s="1980" t="s">
        <v>905</v>
      </c>
      <c r="B5" s="1982" t="s">
        <v>754</v>
      </c>
      <c r="C5" s="1978" t="s">
        <v>1139</v>
      </c>
      <c r="D5" s="1978"/>
      <c r="E5" s="1978"/>
      <c r="F5" s="1978"/>
      <c r="G5" s="1979"/>
      <c r="I5" s="965"/>
    </row>
    <row r="6" spans="1:8" s="301" customFormat="1" ht="13.5" thickBot="1">
      <c r="A6" s="1981"/>
      <c r="B6" s="1983"/>
      <c r="C6" s="1070" t="s">
        <v>547</v>
      </c>
      <c r="D6" s="1071" t="s">
        <v>548</v>
      </c>
      <c r="E6" s="1071" t="s">
        <v>549</v>
      </c>
      <c r="F6" s="1071" t="s">
        <v>550</v>
      </c>
      <c r="G6" s="1072" t="s">
        <v>1314</v>
      </c>
      <c r="H6" s="1011" t="s">
        <v>993</v>
      </c>
    </row>
    <row r="7" spans="1:8" s="300" customFormat="1" ht="24">
      <c r="A7" s="1016">
        <v>1</v>
      </c>
      <c r="B7" s="304" t="s">
        <v>386</v>
      </c>
      <c r="C7" s="444">
        <f>SUM(C8:C15)</f>
        <v>186910</v>
      </c>
      <c r="D7" s="444">
        <f>SUM(D8:D15)</f>
        <v>314812</v>
      </c>
      <c r="E7" s="444">
        <f>SUM(E8:E15)</f>
        <v>75619</v>
      </c>
      <c r="F7" s="444">
        <f>SUM(F8:F15)</f>
        <v>68215</v>
      </c>
      <c r="G7" s="1017">
        <f>SUM(G8:G15)</f>
        <v>645556</v>
      </c>
      <c r="H7" s="1012">
        <v>51</v>
      </c>
    </row>
    <row r="8" spans="1:8" s="62" customFormat="1" ht="12.75">
      <c r="A8" s="1018" t="s">
        <v>1376</v>
      </c>
      <c r="B8" s="232" t="s">
        <v>769</v>
      </c>
      <c r="C8" s="445">
        <f>СВОДНАЯ!E7</f>
        <v>6539</v>
      </c>
      <c r="D8" s="445">
        <f>СВОДНАЯ!I7</f>
        <v>10306</v>
      </c>
      <c r="E8" s="445">
        <f>СВОДНАЯ!M7</f>
        <v>0</v>
      </c>
      <c r="F8" s="445">
        <f>СВОДНАЯ!Q7</f>
        <v>0</v>
      </c>
      <c r="G8" s="1019">
        <f>SUM(C8:F8)</f>
        <v>16845</v>
      </c>
      <c r="H8" s="1013">
        <v>51</v>
      </c>
    </row>
    <row r="9" spans="1:8" s="62" customFormat="1" ht="12.75">
      <c r="A9" s="1018" t="s">
        <v>1377</v>
      </c>
      <c r="B9" s="232" t="s">
        <v>1696</v>
      </c>
      <c r="C9" s="445">
        <f>СВОДНАЯ!E8</f>
        <v>6000</v>
      </c>
      <c r="D9" s="445">
        <f>СВОДНАЯ!I8</f>
        <v>11850</v>
      </c>
      <c r="E9" s="445">
        <f>СВОДНАЯ!M8</f>
        <v>0</v>
      </c>
      <c r="F9" s="445">
        <f>СВОДНАЯ!Q8</f>
        <v>21750</v>
      </c>
      <c r="G9" s="1019">
        <f aca="true" t="shared" si="0" ref="G9:G15">SUM(C9:F9)</f>
        <v>39600</v>
      </c>
      <c r="H9" s="1013">
        <v>52</v>
      </c>
    </row>
    <row r="10" spans="1:8" s="62" customFormat="1" ht="24">
      <c r="A10" s="1018" t="s">
        <v>1378</v>
      </c>
      <c r="B10" s="232" t="s">
        <v>503</v>
      </c>
      <c r="C10" s="445">
        <f>СВОДНАЯ!E9</f>
        <v>21666</v>
      </c>
      <c r="D10" s="445">
        <f>СВОДНАЯ!I9</f>
        <v>23134</v>
      </c>
      <c r="E10" s="445">
        <f>СВОДНАЯ!M9</f>
        <v>18327</v>
      </c>
      <c r="F10" s="445">
        <f>СВОДНАЯ!Q9</f>
        <v>21600</v>
      </c>
      <c r="G10" s="1019">
        <f t="shared" si="0"/>
        <v>84727</v>
      </c>
      <c r="H10" s="1013">
        <v>53</v>
      </c>
    </row>
    <row r="11" spans="1:8" s="62" customFormat="1" ht="24">
      <c r="A11" s="1018" t="s">
        <v>1379</v>
      </c>
      <c r="B11" s="232" t="s">
        <v>710</v>
      </c>
      <c r="C11" s="445">
        <f>СВОДНАЯ!E10</f>
        <v>83800</v>
      </c>
      <c r="D11" s="445">
        <f>СВОДНАЯ!I10</f>
        <v>135760</v>
      </c>
      <c r="E11" s="445">
        <f>СВОДНАЯ!M10</f>
        <v>0</v>
      </c>
      <c r="F11" s="445">
        <f>СВОДНАЯ!Q10</f>
        <v>0</v>
      </c>
      <c r="G11" s="1019">
        <f t="shared" si="0"/>
        <v>219560</v>
      </c>
      <c r="H11" s="1013">
        <v>54</v>
      </c>
    </row>
    <row r="12" spans="1:8" s="62" customFormat="1" ht="12.75">
      <c r="A12" s="1018" t="s">
        <v>1187</v>
      </c>
      <c r="B12" s="232" t="s">
        <v>698</v>
      </c>
      <c r="C12" s="445">
        <f>СВОДНАЯ!E11</f>
        <v>20725</v>
      </c>
      <c r="D12" s="445">
        <f>СВОДНАЯ!I11</f>
        <v>28122</v>
      </c>
      <c r="E12" s="445">
        <f>СВОДНАЯ!M11</f>
        <v>0</v>
      </c>
      <c r="F12" s="445">
        <f>СВОДНАЯ!Q11</f>
        <v>0</v>
      </c>
      <c r="G12" s="1019">
        <f t="shared" si="0"/>
        <v>48847</v>
      </c>
      <c r="H12" s="1013">
        <v>55</v>
      </c>
    </row>
    <row r="13" spans="1:8" s="62" customFormat="1" ht="24">
      <c r="A13" s="1018" t="s">
        <v>1188</v>
      </c>
      <c r="B13" s="232" t="s">
        <v>1513</v>
      </c>
      <c r="C13" s="445">
        <f>СВОДНАЯ!E12</f>
        <v>3580</v>
      </c>
      <c r="D13" s="445">
        <f>СВОДНАЯ!I12</f>
        <v>40320</v>
      </c>
      <c r="E13" s="445">
        <f>СВОДНАЯ!M12</f>
        <v>20120</v>
      </c>
      <c r="F13" s="445">
        <f>СВОДНАЯ!Q12</f>
        <v>0</v>
      </c>
      <c r="G13" s="1019">
        <f t="shared" si="0"/>
        <v>64020</v>
      </c>
      <c r="H13" s="1013">
        <v>56</v>
      </c>
    </row>
    <row r="14" spans="1:8" s="62" customFormat="1" ht="24">
      <c r="A14" s="1018" t="s">
        <v>1189</v>
      </c>
      <c r="B14" s="232" t="s">
        <v>1600</v>
      </c>
      <c r="C14" s="445">
        <f>СВОДНАЯ!E13</f>
        <v>44600</v>
      </c>
      <c r="D14" s="445">
        <f>СВОДНАЯ!I13</f>
        <v>21119</v>
      </c>
      <c r="E14" s="445">
        <f>СВОДНАЯ!M13</f>
        <v>15000</v>
      </c>
      <c r="F14" s="445">
        <f>СВОДНАЯ!Q13</f>
        <v>24865</v>
      </c>
      <c r="G14" s="1019">
        <f t="shared" si="0"/>
        <v>105584</v>
      </c>
      <c r="H14" s="1013">
        <v>57</v>
      </c>
    </row>
    <row r="15" spans="1:8" s="62" customFormat="1" ht="24">
      <c r="A15" s="1018" t="s">
        <v>1190</v>
      </c>
      <c r="B15" s="232" t="s">
        <v>627</v>
      </c>
      <c r="C15" s="445">
        <f>СВОДНАЯ!E14</f>
        <v>0</v>
      </c>
      <c r="D15" s="445">
        <f>СВОДНАЯ!I14</f>
        <v>44201</v>
      </c>
      <c r="E15" s="445">
        <f>СВОДНАЯ!M14</f>
        <v>22172</v>
      </c>
      <c r="F15" s="445">
        <f>СВОДНАЯ!Q14</f>
        <v>0</v>
      </c>
      <c r="G15" s="1019">
        <f t="shared" si="0"/>
        <v>66373</v>
      </c>
      <c r="H15" s="1013">
        <v>60</v>
      </c>
    </row>
    <row r="16" spans="1:8" s="306" customFormat="1" ht="12.75">
      <c r="A16" s="1020">
        <v>2</v>
      </c>
      <c r="B16" s="305" t="s">
        <v>1838</v>
      </c>
      <c r="C16" s="446">
        <f>SUM(C17:C19)</f>
        <v>437963</v>
      </c>
      <c r="D16" s="446">
        <f>SUM(D17:D19)</f>
        <v>365504</v>
      </c>
      <c r="E16" s="446">
        <f>SUM(E17:E19)</f>
        <v>89174</v>
      </c>
      <c r="F16" s="446">
        <f>SUM(F17:F19)</f>
        <v>519100</v>
      </c>
      <c r="G16" s="1021">
        <f>ROUNDUP(SUM(G17:G19),0)</f>
        <v>1411741</v>
      </c>
      <c r="H16" s="1014">
        <v>61</v>
      </c>
    </row>
    <row r="17" spans="1:8" s="62" customFormat="1" ht="24">
      <c r="A17" s="1018" t="s">
        <v>1125</v>
      </c>
      <c r="B17" s="232" t="str">
        <f>'2.1 инв'!B2:L2</f>
        <v>Проведение физкультурно-оздоровительной работы  и содействие в организации учебно-тренировочных занятий с инвалидами</v>
      </c>
      <c r="C17" s="445">
        <f>СВОДНАЯ!E16</f>
        <v>22341</v>
      </c>
      <c r="D17" s="445">
        <f>СВОДНАЯ!I16</f>
        <v>11582</v>
      </c>
      <c r="E17" s="445">
        <f>СВОДНАЯ!M16</f>
        <v>16410</v>
      </c>
      <c r="F17" s="445">
        <f>СВОДНАЯ!Q16</f>
        <v>21959</v>
      </c>
      <c r="G17" s="1019">
        <f>SUM(C17:F17)</f>
        <v>72292</v>
      </c>
      <c r="H17" s="1013">
        <v>61</v>
      </c>
    </row>
    <row r="18" spans="1:8" s="62" customFormat="1" ht="36">
      <c r="A18" s="1018" t="s">
        <v>1126</v>
      </c>
      <c r="B18" s="232" t="str">
        <f>'2.2 г.орг'!B1:P1</f>
        <v>Организация и проведение спортивных мероприятий в в/ч 3478, предприятиях, учреждениях  ЗАТО Северск и проведение годовой комплексной спартакиады. </v>
      </c>
      <c r="C18" s="445">
        <f>СВОДНАЯ!E17</f>
        <v>410718</v>
      </c>
      <c r="D18" s="445">
        <f>СВОДНАЯ!I17</f>
        <v>324402</v>
      </c>
      <c r="E18" s="445">
        <f>СВОДНАЯ!M17</f>
        <v>72764</v>
      </c>
      <c r="F18" s="445">
        <f>СВОДНАЯ!Q17</f>
        <v>479881</v>
      </c>
      <c r="G18" s="1019">
        <f>SUM(C18:F18)</f>
        <v>1287765</v>
      </c>
      <c r="H18" s="1013">
        <v>64</v>
      </c>
    </row>
    <row r="19" spans="1:8" s="62" customFormat="1" ht="24">
      <c r="A19" s="1018" t="s">
        <v>1788</v>
      </c>
      <c r="B19" s="232" t="str">
        <f>'2.3 метод.'!B1</f>
        <v>Организация и проведение работы по повышению квалификации специалистов по физической культуре и спорту</v>
      </c>
      <c r="C19" s="445">
        <f>СВОДНАЯ!E18</f>
        <v>4904</v>
      </c>
      <c r="D19" s="445">
        <f>СВОДНАЯ!I18</f>
        <v>29520</v>
      </c>
      <c r="E19" s="445">
        <f>СВОДНАЯ!M18</f>
        <v>0</v>
      </c>
      <c r="F19" s="445">
        <f>СВОДНАЯ!Q18</f>
        <v>17260</v>
      </c>
      <c r="G19" s="1019">
        <f>SUM(C19:F19)</f>
        <v>51684</v>
      </c>
      <c r="H19" s="1013">
        <v>68</v>
      </c>
    </row>
    <row r="20" spans="1:8" s="306" customFormat="1" ht="24">
      <c r="A20" s="1020">
        <v>3</v>
      </c>
      <c r="B20" s="305" t="s">
        <v>1904</v>
      </c>
      <c r="C20" s="446">
        <f>ROUNDUP(SUM(C21:C24),0)</f>
        <v>372994</v>
      </c>
      <c r="D20" s="446">
        <f>SUM(D21:D24)</f>
        <v>219694</v>
      </c>
      <c r="E20" s="446">
        <f>SUM(E21:E24)</f>
        <v>113076</v>
      </c>
      <c r="F20" s="446">
        <f>SUM(F21:F24)</f>
        <v>321373</v>
      </c>
      <c r="G20" s="1021">
        <f>ROUNDUP(SUM(C20:F20),0)</f>
        <v>1027137</v>
      </c>
      <c r="H20" s="1014">
        <v>72</v>
      </c>
    </row>
    <row r="21" spans="1:8" s="62" customFormat="1" ht="24">
      <c r="A21" s="1018" t="s">
        <v>1789</v>
      </c>
      <c r="B21" s="232" t="s">
        <v>0</v>
      </c>
      <c r="C21" s="445">
        <f>СВОДНАЯ!E20</f>
        <v>156600</v>
      </c>
      <c r="D21" s="445">
        <f>СВОДНАЯ!I20</f>
        <v>70650</v>
      </c>
      <c r="E21" s="445">
        <f>СВОДНАЯ!M20</f>
        <v>57600</v>
      </c>
      <c r="F21" s="445">
        <f>СВОДНАЯ!Q20</f>
        <v>72900</v>
      </c>
      <c r="G21" s="1019">
        <f aca="true" t="shared" si="1" ref="G21:G31">SUM(C21:F21)</f>
        <v>357750</v>
      </c>
      <c r="H21" s="1013">
        <v>72</v>
      </c>
    </row>
    <row r="22" spans="1:8" s="62" customFormat="1" ht="12.75">
      <c r="A22" s="1018" t="s">
        <v>1790</v>
      </c>
      <c r="B22" s="232" t="s">
        <v>413</v>
      </c>
      <c r="C22" s="445">
        <f>СВОДНАЯ!E21</f>
        <v>39366</v>
      </c>
      <c r="D22" s="445">
        <f>СВОДНАЯ!I21</f>
        <v>32973</v>
      </c>
      <c r="E22" s="445">
        <f>СВОДНАЯ!M21</f>
        <v>34185</v>
      </c>
      <c r="F22" s="445">
        <f>СВОДНАЯ!Q21</f>
        <v>114785</v>
      </c>
      <c r="G22" s="1019">
        <f>ROUNDUP(SUM(C22:F22),0)</f>
        <v>221309</v>
      </c>
      <c r="H22" s="1013">
        <v>74</v>
      </c>
    </row>
    <row r="23" spans="1:8" s="62" customFormat="1" ht="12.75">
      <c r="A23" s="1018" t="s">
        <v>203</v>
      </c>
      <c r="B23" s="232" t="s">
        <v>715</v>
      </c>
      <c r="C23" s="445">
        <f>СВОДНАЯ!E22</f>
        <v>163599</v>
      </c>
      <c r="D23" s="445">
        <f>СВОДНАЯ!I22</f>
        <v>93415</v>
      </c>
      <c r="E23" s="445">
        <f>СВОДНАЯ!M22</f>
        <v>16904</v>
      </c>
      <c r="F23" s="445">
        <f>СВОДНАЯ!Q22</f>
        <v>85891</v>
      </c>
      <c r="G23" s="1019">
        <f>ROUNDUP(SUM(C23:F23),0)</f>
        <v>359809</v>
      </c>
      <c r="H23" s="1013">
        <v>75</v>
      </c>
    </row>
    <row r="24" spans="1:8" s="62" customFormat="1" ht="12.75">
      <c r="A24" s="1018" t="s">
        <v>204</v>
      </c>
      <c r="B24" s="232" t="s">
        <v>716</v>
      </c>
      <c r="C24" s="445">
        <f>СВОДНАЯ!E23</f>
        <v>13429</v>
      </c>
      <c r="D24" s="445">
        <f>СВОДНАЯ!I23</f>
        <v>22656</v>
      </c>
      <c r="E24" s="445">
        <f>СВОДНАЯ!M23</f>
        <v>4387</v>
      </c>
      <c r="F24" s="445">
        <f>СВОДНАЯ!Q23</f>
        <v>47797</v>
      </c>
      <c r="G24" s="1019">
        <f>ROUNDUP(SUM(C24:F24),0)</f>
        <v>88269</v>
      </c>
      <c r="H24" s="1013">
        <v>77</v>
      </c>
    </row>
    <row r="25" spans="1:8" s="306" customFormat="1" ht="24">
      <c r="A25" s="1020">
        <v>4</v>
      </c>
      <c r="B25" s="305" t="s">
        <v>697</v>
      </c>
      <c r="C25" s="446">
        <f>ROUNDUP(SUM(C26:C27),0)</f>
        <v>300259</v>
      </c>
      <c r="D25" s="446">
        <f>ROUNDUP(SUM(D26:D27),0)</f>
        <v>849680</v>
      </c>
      <c r="E25" s="446">
        <f>ROUNDUP(SUM(E26:E27),0)</f>
        <v>528475</v>
      </c>
      <c r="F25" s="446">
        <f>ROUNDUP(SUM(F26:F27),0)</f>
        <v>509870</v>
      </c>
      <c r="G25" s="1024">
        <f>ROUNDUP(SUM(C25:F25),0)</f>
        <v>2188284</v>
      </c>
      <c r="H25" s="1014">
        <v>86</v>
      </c>
    </row>
    <row r="26" spans="1:8" s="268" customFormat="1" ht="24">
      <c r="A26" s="1022" t="s">
        <v>205</v>
      </c>
      <c r="B26" s="264" t="s">
        <v>717</v>
      </c>
      <c r="C26" s="447">
        <f>СВОДНАЯ!E25</f>
        <v>285829</v>
      </c>
      <c r="D26" s="447">
        <f>СВОДНАЯ!I25</f>
        <v>842750</v>
      </c>
      <c r="E26" s="447">
        <f>СВОДНАЯ!M25</f>
        <v>521545</v>
      </c>
      <c r="F26" s="447">
        <f>СВОДНАЯ!Q25</f>
        <v>502940</v>
      </c>
      <c r="G26" s="1023">
        <f>ROUNDUP(SUM(C26:F26),0)</f>
        <v>2153064</v>
      </c>
      <c r="H26" s="1015">
        <v>86</v>
      </c>
    </row>
    <row r="27" spans="1:8" s="268" customFormat="1" ht="12.75">
      <c r="A27" s="1022" t="s">
        <v>206</v>
      </c>
      <c r="B27" s="264" t="s">
        <v>1848</v>
      </c>
      <c r="C27" s="447">
        <f>СВОДНАЯ!E26</f>
        <v>14430</v>
      </c>
      <c r="D27" s="447">
        <f>СВОДНАЯ!I26</f>
        <v>6930</v>
      </c>
      <c r="E27" s="447">
        <f>СВОДНАЯ!M26</f>
        <v>6930</v>
      </c>
      <c r="F27" s="447">
        <f>СВОДНАЯ!Q26</f>
        <v>6930</v>
      </c>
      <c r="G27" s="1023">
        <f t="shared" si="1"/>
        <v>35220</v>
      </c>
      <c r="H27" s="1015">
        <v>98</v>
      </c>
    </row>
    <row r="28" spans="1:8" s="306" customFormat="1" ht="24">
      <c r="A28" s="1020" t="s">
        <v>1278</v>
      </c>
      <c r="B28" s="305" t="s">
        <v>1706</v>
      </c>
      <c r="C28" s="446">
        <f>SUM(C29)</f>
        <v>17356</v>
      </c>
      <c r="D28" s="446">
        <f>SUM(D29)</f>
        <v>17356</v>
      </c>
      <c r="E28" s="446">
        <f>SUM(E29)</f>
        <v>17355</v>
      </c>
      <c r="F28" s="446">
        <f>SUM(F29)</f>
        <v>17355</v>
      </c>
      <c r="G28" s="1024">
        <f t="shared" si="1"/>
        <v>69422</v>
      </c>
      <c r="H28" s="1014">
        <v>102</v>
      </c>
    </row>
    <row r="29" spans="1:9" s="268" customFormat="1" ht="12.75">
      <c r="A29" s="1022" t="s">
        <v>546</v>
      </c>
      <c r="B29" s="264" t="s">
        <v>1604</v>
      </c>
      <c r="C29" s="447">
        <f>СВОДНАЯ!E28</f>
        <v>17356</v>
      </c>
      <c r="D29" s="447">
        <f>СВОДНАЯ!I28</f>
        <v>17356</v>
      </c>
      <c r="E29" s="447">
        <f>СВОДНАЯ!M28</f>
        <v>17355</v>
      </c>
      <c r="F29" s="447">
        <f>СВОДНАЯ!Q28</f>
        <v>17355</v>
      </c>
      <c r="G29" s="1023">
        <f t="shared" si="1"/>
        <v>69422</v>
      </c>
      <c r="H29" s="1015">
        <v>102</v>
      </c>
      <c r="I29" s="1058"/>
    </row>
    <row r="30" spans="1:8" s="306" customFormat="1" ht="24">
      <c r="A30" s="1020" t="s">
        <v>1279</v>
      </c>
      <c r="B30" s="305" t="s">
        <v>1317</v>
      </c>
      <c r="C30" s="446">
        <f>SUM(C31)</f>
        <v>420025</v>
      </c>
      <c r="D30" s="446">
        <f>SUM(D31)</f>
        <v>420025</v>
      </c>
      <c r="E30" s="446">
        <f>SUM(E31)</f>
        <v>420025</v>
      </c>
      <c r="F30" s="446">
        <f>SUM(F31)</f>
        <v>432306</v>
      </c>
      <c r="G30" s="1024">
        <f t="shared" si="1"/>
        <v>1692381</v>
      </c>
      <c r="H30" s="1014">
        <v>103</v>
      </c>
    </row>
    <row r="31" spans="1:8" s="268" customFormat="1" ht="12.75">
      <c r="A31" s="1022" t="s">
        <v>207</v>
      </c>
      <c r="B31" s="264" t="s">
        <v>1603</v>
      </c>
      <c r="C31" s="447">
        <f>СВОДНАЯ!E30</f>
        <v>420025</v>
      </c>
      <c r="D31" s="447">
        <f>СВОДНАЯ!I30</f>
        <v>420025</v>
      </c>
      <c r="E31" s="447">
        <f>СВОДНАЯ!M30</f>
        <v>420025</v>
      </c>
      <c r="F31" s="447">
        <f>СВОДНАЯ!Q30</f>
        <v>432306</v>
      </c>
      <c r="G31" s="1023">
        <f t="shared" si="1"/>
        <v>1692381</v>
      </c>
      <c r="H31" s="1015">
        <v>103</v>
      </c>
    </row>
    <row r="32" spans="1:8" s="306" customFormat="1" ht="24">
      <c r="A32" s="1020" t="s">
        <v>1280</v>
      </c>
      <c r="B32" s="305" t="s">
        <v>350</v>
      </c>
      <c r="C32" s="446">
        <f>SUM(C33:C34)</f>
        <v>99408</v>
      </c>
      <c r="D32" s="446">
        <f>SUM(D33:D34)</f>
        <v>101411</v>
      </c>
      <c r="E32" s="446">
        <f>SUM(E33:E34)</f>
        <v>99411</v>
      </c>
      <c r="F32" s="446">
        <f>SUM(F33:F34)</f>
        <v>195410</v>
      </c>
      <c r="G32" s="1021">
        <f>SUM(G33:G34)</f>
        <v>495640</v>
      </c>
      <c r="H32" s="1014">
        <v>104</v>
      </c>
    </row>
    <row r="33" spans="1:8" s="62" customFormat="1" ht="24">
      <c r="A33" s="1018" t="s">
        <v>208</v>
      </c>
      <c r="B33" s="232" t="s">
        <v>1661</v>
      </c>
      <c r="C33" s="445">
        <f>СВОДНАЯ!E32</f>
        <v>68385</v>
      </c>
      <c r="D33" s="445">
        <f>СВОДНАЯ!I32</f>
        <v>70385</v>
      </c>
      <c r="E33" s="445">
        <f>СВОДНАЯ!M32</f>
        <v>68385</v>
      </c>
      <c r="F33" s="445">
        <f>СВОДНАЯ!Q32</f>
        <v>96385</v>
      </c>
      <c r="G33" s="1019">
        <f>SUM(C33:F33)</f>
        <v>303540</v>
      </c>
      <c r="H33" s="1013">
        <v>104</v>
      </c>
    </row>
    <row r="34" spans="1:8" s="62" customFormat="1" ht="12.75">
      <c r="A34" s="1018" t="s">
        <v>1531</v>
      </c>
      <c r="B34" s="232" t="s">
        <v>1315</v>
      </c>
      <c r="C34" s="445">
        <f>СВОДНАЯ!E33</f>
        <v>31023</v>
      </c>
      <c r="D34" s="445">
        <f>СВОДНАЯ!I33</f>
        <v>31026</v>
      </c>
      <c r="E34" s="445">
        <f>СВОДНАЯ!M33</f>
        <v>31026</v>
      </c>
      <c r="F34" s="445">
        <f>СВОДНАЯ!Q33</f>
        <v>99025</v>
      </c>
      <c r="G34" s="1019">
        <f>SUM(C34:F34)</f>
        <v>192100</v>
      </c>
      <c r="H34" s="1013">
        <v>105</v>
      </c>
    </row>
    <row r="35" spans="1:8" s="306" customFormat="1" ht="24">
      <c r="A35" s="1020" t="s">
        <v>1281</v>
      </c>
      <c r="B35" s="305" t="s">
        <v>1316</v>
      </c>
      <c r="C35" s="446">
        <f>SUM(C36:C40)</f>
        <v>204496</v>
      </c>
      <c r="D35" s="446">
        <f>СВОДНАЯ!I34</f>
        <v>856645</v>
      </c>
      <c r="E35" s="446">
        <f>СВОДНАЯ!M34</f>
        <v>204495</v>
      </c>
      <c r="F35" s="446">
        <f>СВОДНАЯ!Q34</f>
        <v>204495</v>
      </c>
      <c r="G35" s="1021">
        <f>SUM(C35:F35)</f>
        <v>1470131</v>
      </c>
      <c r="H35" s="1014">
        <v>106</v>
      </c>
    </row>
    <row r="36" spans="1:9" s="1049" customFormat="1" ht="24">
      <c r="A36" s="1052" t="s">
        <v>209</v>
      </c>
      <c r="B36" s="406" t="s">
        <v>307</v>
      </c>
      <c r="C36" s="580">
        <f>G36/4</f>
        <v>130691</v>
      </c>
      <c r="D36" s="580">
        <f>G36/4</f>
        <v>130691</v>
      </c>
      <c r="E36" s="580">
        <f>G36/4</f>
        <v>130691</v>
      </c>
      <c r="F36" s="580">
        <f>G36/41</f>
        <v>12750</v>
      </c>
      <c r="G36" s="1053">
        <f>'ПРИЛ №3'!G422</f>
        <v>522764</v>
      </c>
      <c r="H36" s="1054"/>
      <c r="I36" s="1055"/>
    </row>
    <row r="37" spans="1:9" s="1049" customFormat="1" ht="36">
      <c r="A37" s="1056" t="s">
        <v>210</v>
      </c>
      <c r="B37" s="438" t="s">
        <v>1320</v>
      </c>
      <c r="C37" s="600"/>
      <c r="D37" s="600">
        <f>G37</f>
        <v>652150</v>
      </c>
      <c r="E37" s="600"/>
      <c r="F37" s="600"/>
      <c r="G37" s="1057">
        <f>'ПРИЛ №3'!G423</f>
        <v>652150</v>
      </c>
      <c r="H37" s="1054"/>
      <c r="I37" s="1055"/>
    </row>
    <row r="38" spans="1:9" s="1049" customFormat="1" ht="36">
      <c r="A38" s="1052" t="s">
        <v>421</v>
      </c>
      <c r="B38" s="438" t="s">
        <v>1321</v>
      </c>
      <c r="C38" s="600">
        <f>G38/4</f>
        <v>7500</v>
      </c>
      <c r="D38" s="600">
        <f>G38/4</f>
        <v>7500</v>
      </c>
      <c r="E38" s="600">
        <f>G38/4</f>
        <v>7500</v>
      </c>
      <c r="F38" s="600">
        <f>G38/4</f>
        <v>7500</v>
      </c>
      <c r="G38" s="1057">
        <f>'ПРИЛ №3'!G424</f>
        <v>30000</v>
      </c>
      <c r="H38" s="1054"/>
      <c r="I38" s="1055"/>
    </row>
    <row r="39" spans="1:9" s="1049" customFormat="1" ht="24">
      <c r="A39" s="1052" t="s">
        <v>422</v>
      </c>
      <c r="B39" s="438" t="s">
        <v>896</v>
      </c>
      <c r="C39" s="600">
        <f>G39/4</f>
        <v>14686</v>
      </c>
      <c r="D39" s="600">
        <f>G39/4</f>
        <v>14686</v>
      </c>
      <c r="E39" s="600">
        <f>G39/4</f>
        <v>14686</v>
      </c>
      <c r="F39" s="600">
        <f>G39/4</f>
        <v>14686</v>
      </c>
      <c r="G39" s="1057">
        <f>'ПРИЛ №3'!G425</f>
        <v>58742</v>
      </c>
      <c r="H39" s="1054"/>
      <c r="I39" s="1055"/>
    </row>
    <row r="40" spans="1:9" s="1049" customFormat="1" ht="24.75" thickBot="1">
      <c r="A40" s="1056" t="s">
        <v>423</v>
      </c>
      <c r="B40" s="438" t="s">
        <v>897</v>
      </c>
      <c r="C40" s="600">
        <f>G40/4</f>
        <v>51619</v>
      </c>
      <c r="D40" s="600">
        <f>G40/4</f>
        <v>51619</v>
      </c>
      <c r="E40" s="600">
        <f>G40/4</f>
        <v>51619</v>
      </c>
      <c r="F40" s="600">
        <f>G40/1</f>
        <v>206475</v>
      </c>
      <c r="G40" s="1057">
        <f>'ПРИЛ №3'!G426</f>
        <v>206475</v>
      </c>
      <c r="H40" s="1054"/>
      <c r="I40" s="1055"/>
    </row>
    <row r="41" spans="1:9" s="1049" customFormat="1" ht="13.5" thickBot="1">
      <c r="A41" s="1025"/>
      <c r="B41" s="1026" t="s">
        <v>484</v>
      </c>
      <c r="C41" s="1027">
        <f>SUM(C7,C16,C20,C25,,C28,C30,C32,C35)</f>
        <v>2039411</v>
      </c>
      <c r="D41" s="1027">
        <f>SUM(D7,D16,D20,D25,,D28,D30,D32,D35)</f>
        <v>3145127</v>
      </c>
      <c r="E41" s="1027">
        <f>SUM(E7,E16,E20,E25,,E28,E30,E32,E35)</f>
        <v>1547630</v>
      </c>
      <c r="F41" s="1027">
        <f>SUM(F7,F16,F20,F25,,F28,F30,F32,F35)</f>
        <v>2268124</v>
      </c>
      <c r="G41" s="1027">
        <f>SUM(G7,G16,G20,G25,,G28,G30,G32,G35)</f>
        <v>9000292</v>
      </c>
      <c r="H41" s="1054"/>
      <c r="I41" s="1055"/>
    </row>
    <row r="42" spans="1:9" s="1049" customFormat="1" ht="12.75">
      <c r="A42" s="302"/>
      <c r="B42" s="303"/>
      <c r="C42" s="303"/>
      <c r="D42" s="303"/>
      <c r="E42" s="303"/>
      <c r="F42" s="303"/>
      <c r="G42" s="303"/>
      <c r="H42" s="1054"/>
      <c r="I42" s="1055"/>
    </row>
    <row r="43" spans="1:9" s="1049" customFormat="1" ht="12.75">
      <c r="A43" s="1000"/>
      <c r="B43" s="999"/>
      <c r="C43"/>
      <c r="D43"/>
      <c r="E43"/>
      <c r="F43" s="1000"/>
      <c r="G43"/>
      <c r="H43" s="1054"/>
      <c r="I43" s="1055"/>
    </row>
    <row r="44" spans="1:9" s="1049" customFormat="1" ht="12.75">
      <c r="A44" s="302"/>
      <c r="B44" s="303"/>
      <c r="C44" s="303"/>
      <c r="D44" s="303"/>
      <c r="E44" s="303"/>
      <c r="F44" s="303"/>
      <c r="G44" s="303"/>
      <c r="H44" s="1054"/>
      <c r="I44" s="1055"/>
    </row>
    <row r="45" spans="1:9" s="1049" customFormat="1" ht="12.75">
      <c r="A45" s="299"/>
      <c r="B45"/>
      <c r="C45"/>
      <c r="D45"/>
      <c r="E45"/>
      <c r="F45"/>
      <c r="G45"/>
      <c r="H45" s="1054"/>
      <c r="I45" s="1055"/>
    </row>
    <row r="46" spans="1:8" s="306" customFormat="1" ht="12.75">
      <c r="A46" s="299"/>
      <c r="B46"/>
      <c r="C46"/>
      <c r="D46"/>
      <c r="E46"/>
      <c r="F46"/>
      <c r="G46"/>
      <c r="H46" s="1014"/>
    </row>
    <row r="47" spans="1:8" s="17" customFormat="1" ht="12.75">
      <c r="A47" s="299"/>
      <c r="B47"/>
      <c r="C47"/>
      <c r="D47"/>
      <c r="E47"/>
      <c r="F47"/>
      <c r="G47"/>
      <c r="H47" s="520"/>
    </row>
    <row r="48" spans="1:8" s="30" customFormat="1" ht="14.25">
      <c r="A48" s="299"/>
      <c r="B48"/>
      <c r="C48"/>
      <c r="D48"/>
      <c r="E48"/>
      <c r="F48"/>
      <c r="G48"/>
      <c r="H48" s="521"/>
    </row>
    <row r="50" spans="1:8" s="17" customFormat="1" ht="12.75">
      <c r="A50" s="299"/>
      <c r="B50"/>
      <c r="C50"/>
      <c r="D50"/>
      <c r="E50"/>
      <c r="F50"/>
      <c r="G50"/>
      <c r="H50" s="520"/>
    </row>
  </sheetData>
  <mergeCells count="5">
    <mergeCell ref="B3:G3"/>
    <mergeCell ref="D2:G2"/>
    <mergeCell ref="C5:G5"/>
    <mergeCell ref="A5:A6"/>
    <mergeCell ref="B5:B6"/>
  </mergeCells>
  <printOptions/>
  <pageMargins left="1.1811023622047245" right="0.7874015748031497" top="0.984251968503937" bottom="0.1968503937007874" header="0.5118110236220472" footer="0.31496062992125984"/>
  <pageSetup firstPageNumber="16" useFirstPageNumber="1" horizontalDpi="120" verticalDpi="120" orientation="landscape" paperSize="9" scale="90" r:id="rId1"/>
  <rowBreaks count="1" manualBreakCount="1">
    <brk id="2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568"/>
  <sheetViews>
    <sheetView view="pageBreakPreview" zoomScale="75" zoomScaleSheetLayoutView="75" workbookViewId="0" topLeftCell="A1">
      <selection activeCell="F2" sqref="F2:G2"/>
    </sheetView>
  </sheetViews>
  <sheetFormatPr defaultColWidth="9.00390625" defaultRowHeight="12.75"/>
  <cols>
    <col min="1" max="1" width="0.12890625" style="35" customWidth="1"/>
    <col min="2" max="2" width="7.125" style="35" customWidth="1"/>
    <col min="3" max="3" width="51.625" style="35" customWidth="1"/>
    <col min="4" max="4" width="7.625" style="526" customWidth="1"/>
    <col min="5" max="5" width="20.125" style="35" customWidth="1"/>
    <col min="6" max="6" width="24.25390625" style="35" customWidth="1"/>
    <col min="7" max="7" width="12.00390625" style="527" customWidth="1"/>
    <col min="8" max="8" width="11.25390625" style="527" customWidth="1"/>
    <col min="9" max="9" width="10.00390625" style="35" customWidth="1"/>
    <col min="10" max="16384" width="9.125" style="35" customWidth="1"/>
  </cols>
  <sheetData>
    <row r="1" ht="12.75">
      <c r="G1" s="528" t="s">
        <v>1282</v>
      </c>
    </row>
    <row r="2" spans="6:10" ht="50.25" customHeight="1">
      <c r="F2" s="1867" t="s">
        <v>86</v>
      </c>
      <c r="G2" s="1867"/>
      <c r="H2" s="422"/>
      <c r="I2" s="422"/>
      <c r="J2" s="998"/>
    </row>
    <row r="3" spans="2:7" ht="15" customHeight="1">
      <c r="B3" s="2007" t="s">
        <v>597</v>
      </c>
      <c r="C3" s="2007"/>
      <c r="D3" s="2007"/>
      <c r="E3" s="2007"/>
      <c r="F3" s="2007"/>
      <c r="G3" s="2007"/>
    </row>
    <row r="4" ht="15" customHeight="1" thickBot="1">
      <c r="G4" s="528" t="s">
        <v>368</v>
      </c>
    </row>
    <row r="5" spans="1:8" s="139" customFormat="1" ht="22.5" customHeight="1">
      <c r="A5" s="139" t="s">
        <v>1747</v>
      </c>
      <c r="B5" s="2008" t="s">
        <v>905</v>
      </c>
      <c r="C5" s="2009" t="s">
        <v>1601</v>
      </c>
      <c r="D5" s="2039" t="s">
        <v>1711</v>
      </c>
      <c r="E5" s="2036" t="s">
        <v>1710</v>
      </c>
      <c r="F5" s="2009" t="s">
        <v>1712</v>
      </c>
      <c r="G5" s="1030" t="s">
        <v>1139</v>
      </c>
      <c r="H5" s="2033" t="s">
        <v>1713</v>
      </c>
    </row>
    <row r="6" spans="2:8" s="139" customFormat="1" ht="12" customHeight="1">
      <c r="B6" s="1900"/>
      <c r="C6" s="2010"/>
      <c r="D6" s="1990"/>
      <c r="E6" s="2037"/>
      <c r="F6" s="2010"/>
      <c r="G6" s="2035" t="s">
        <v>1312</v>
      </c>
      <c r="H6" s="2034"/>
    </row>
    <row r="7" spans="2:8" s="139" customFormat="1" ht="15" customHeight="1" thickBot="1">
      <c r="B7" s="1901"/>
      <c r="C7" s="2011"/>
      <c r="D7" s="1991"/>
      <c r="E7" s="2038"/>
      <c r="F7" s="2011"/>
      <c r="G7" s="2035"/>
      <c r="H7" s="2034"/>
    </row>
    <row r="8" spans="1:8" s="1106" customFormat="1" ht="17.25" customHeight="1" thickBot="1">
      <c r="A8" s="1314" t="e">
        <f>A9+A13+A20+A42+A50+A56+#REF!+A68</f>
        <v>#REF!</v>
      </c>
      <c r="B8" s="2024" t="s">
        <v>1707</v>
      </c>
      <c r="C8" s="2025"/>
      <c r="D8" s="2025"/>
      <c r="E8" s="2025"/>
      <c r="F8" s="2025"/>
      <c r="G8" s="1315">
        <f>SUM(G9,G13,G20,G42,G50,G56,G61,G68)</f>
        <v>645556</v>
      </c>
      <c r="H8" s="1316">
        <f>SUM(H9,H13,H20,H42,H50,H56,H61,H68)</f>
        <v>645556</v>
      </c>
    </row>
    <row r="9" spans="1:8" s="1513" customFormat="1" ht="17.25" customHeight="1">
      <c r="A9" s="1513">
        <v>4</v>
      </c>
      <c r="B9" s="2020" t="s">
        <v>534</v>
      </c>
      <c r="C9" s="2021"/>
      <c r="D9" s="2021"/>
      <c r="E9" s="2021"/>
      <c r="F9" s="2023"/>
      <c r="G9" s="1514">
        <f>SUM(G10:G12)</f>
        <v>16845</v>
      </c>
      <c r="H9" s="1515">
        <f>SUM(H10:H12)</f>
        <v>16845</v>
      </c>
    </row>
    <row r="10" spans="2:8" s="338" customFormat="1" ht="17.25" customHeight="1">
      <c r="B10" s="1031">
        <v>1</v>
      </c>
      <c r="C10" s="264" t="str">
        <f>'1.1дош'!B11</f>
        <v>"Папа,мама, я - спортивная семья"</v>
      </c>
      <c r="D10" s="532" t="s">
        <v>1889</v>
      </c>
      <c r="E10" s="245" t="s">
        <v>928</v>
      </c>
      <c r="F10" s="1984" t="s">
        <v>900</v>
      </c>
      <c r="G10" s="1032">
        <f>'1.1дош'!L14</f>
        <v>6539</v>
      </c>
      <c r="H10" s="536">
        <f>G10</f>
        <v>6539</v>
      </c>
    </row>
    <row r="11" spans="2:8" s="338" customFormat="1" ht="17.25" customHeight="1">
      <c r="B11" s="1031">
        <v>2</v>
      </c>
      <c r="C11" s="264" t="str">
        <f>'1.1дош'!B16</f>
        <v>Осьминожка-2007</v>
      </c>
      <c r="D11" s="532" t="s">
        <v>1634</v>
      </c>
      <c r="E11" s="245" t="s">
        <v>928</v>
      </c>
      <c r="F11" s="1984"/>
      <c r="G11" s="1032">
        <f>'1.1дош'!L19</f>
        <v>4816</v>
      </c>
      <c r="H11" s="536">
        <f aca="true" t="shared" si="0" ref="H11:H55">G11</f>
        <v>4816</v>
      </c>
    </row>
    <row r="12" spans="2:8" s="338" customFormat="1" ht="21" customHeight="1">
      <c r="B12" s="1031">
        <v>3</v>
      </c>
      <c r="C12" s="264" t="str">
        <f>'1.1дош'!$B$21</f>
        <v>"Спортленд" - спортивный праздник</v>
      </c>
      <c r="D12" s="532" t="s">
        <v>1634</v>
      </c>
      <c r="E12" s="245" t="s">
        <v>928</v>
      </c>
      <c r="F12" s="1984"/>
      <c r="G12" s="1032">
        <f>'1.1дош'!L23</f>
        <v>5490</v>
      </c>
      <c r="H12" s="536">
        <f t="shared" si="0"/>
        <v>5490</v>
      </c>
    </row>
    <row r="13" spans="1:8" s="1513" customFormat="1" ht="17.25" customHeight="1">
      <c r="A13" s="1513">
        <v>6</v>
      </c>
      <c r="B13" s="2017" t="s">
        <v>297</v>
      </c>
      <c r="C13" s="2027"/>
      <c r="D13" s="2027"/>
      <c r="E13" s="2027"/>
      <c r="F13" s="2028"/>
      <c r="G13" s="1516">
        <f>SUM(G14:G19)</f>
        <v>39600</v>
      </c>
      <c r="H13" s="1517">
        <f>SUM(H14:H19)</f>
        <v>39600</v>
      </c>
    </row>
    <row r="14" spans="2:8" s="338" customFormat="1" ht="27" customHeight="1">
      <c r="B14" s="1031">
        <v>1</v>
      </c>
      <c r="C14" s="264" t="str">
        <f>'1.2 студ'!$B$8</f>
        <v>Спортивный праздник, посвященный Дню защитников Отечества СГТА СПК, в/ч, ПУ-10, ПУ-32</v>
      </c>
      <c r="D14" s="532" t="s">
        <v>1889</v>
      </c>
      <c r="E14" s="264" t="s">
        <v>842</v>
      </c>
      <c r="F14" s="2003" t="s">
        <v>370</v>
      </c>
      <c r="G14" s="1032">
        <f>'1.2 студ'!$L$9</f>
        <v>6000</v>
      </c>
      <c r="H14" s="536">
        <f t="shared" si="0"/>
        <v>6000</v>
      </c>
    </row>
    <row r="15" spans="2:8" s="338" customFormat="1" ht="27.75" customHeight="1">
      <c r="B15" s="1031">
        <v>2</v>
      </c>
      <c r="C15" s="264" t="str">
        <f>'1.2 студ'!$B$12</f>
        <v>Волейбол. Междугород.турнир среди студенческих команд г.Северска и г.Томска</v>
      </c>
      <c r="D15" s="532" t="s">
        <v>1634</v>
      </c>
      <c r="E15" s="245" t="s">
        <v>1514</v>
      </c>
      <c r="F15" s="2003"/>
      <c r="G15" s="1032">
        <f>'1.2 студ'!$L$13</f>
        <v>5400</v>
      </c>
      <c r="H15" s="536">
        <f t="shared" si="0"/>
        <v>5400</v>
      </c>
    </row>
    <row r="16" spans="2:8" s="338" customFormat="1" ht="27" customHeight="1">
      <c r="B16" s="1031">
        <v>3</v>
      </c>
      <c r="C16" s="264" t="str">
        <f>'1.2 студ'!$B$15</f>
        <v>Спортивный праздник, посвященный Дню борьбы с наркотиками - СГТА, СПК, в/ч, ПУ-10, ПУ-32</v>
      </c>
      <c r="D16" s="532" t="s">
        <v>1634</v>
      </c>
      <c r="E16" s="264" t="s">
        <v>842</v>
      </c>
      <c r="F16" s="2003"/>
      <c r="G16" s="1032">
        <f>'1.2 студ'!$L$16</f>
        <v>6450</v>
      </c>
      <c r="H16" s="536">
        <f>G16</f>
        <v>6450</v>
      </c>
    </row>
    <row r="17" spans="2:8" s="338" customFormat="1" ht="30.75" customHeight="1">
      <c r="B17" s="1031">
        <v>4</v>
      </c>
      <c r="C17" s="534" t="str">
        <f>'1.2 студ'!$B$19</f>
        <v>Спортивный праздник, посвященный Дню знаний, Дню согласия и примирения - СГТА, СПК, в/ч, ПУ-10, ПУ-32</v>
      </c>
      <c r="D17" s="532" t="s">
        <v>1636</v>
      </c>
      <c r="E17" s="264" t="s">
        <v>842</v>
      </c>
      <c r="F17" s="2003"/>
      <c r="G17" s="1032">
        <f>'1.2 студ'!$L$20</f>
        <v>6750</v>
      </c>
      <c r="H17" s="536">
        <f t="shared" si="0"/>
        <v>6750</v>
      </c>
    </row>
    <row r="18" spans="2:8" s="338" customFormat="1" ht="36" customHeight="1">
      <c r="B18" s="1031">
        <v>5</v>
      </c>
      <c r="C18" s="264" t="str">
        <f>'1.2 студ'!$B$22</f>
        <v>Спортивный праздник, посвященный Международному дню студентов, Всероссийский день призывника - СГТА, СПК, в/ч, ПУ-10, ПУ-32</v>
      </c>
      <c r="D18" s="532" t="s">
        <v>1636</v>
      </c>
      <c r="E18" s="264" t="s">
        <v>842</v>
      </c>
      <c r="F18" s="2003"/>
      <c r="G18" s="1032">
        <f>'1.2 студ'!$L$23</f>
        <v>7500</v>
      </c>
      <c r="H18" s="536">
        <f t="shared" si="0"/>
        <v>7500</v>
      </c>
    </row>
    <row r="19" spans="2:8" s="338" customFormat="1" ht="26.25" customHeight="1">
      <c r="B19" s="1031">
        <v>6</v>
      </c>
      <c r="C19" s="264" t="str">
        <f>'1.2 студ'!$B$25</f>
        <v>Спортивный праздник на призы Деда Мороза, День конституции РФ - СГТА, СПК, в/ч, ПУ-10, ПУ-32</v>
      </c>
      <c r="D19" s="532" t="s">
        <v>1636</v>
      </c>
      <c r="E19" s="264" t="s">
        <v>842</v>
      </c>
      <c r="F19" s="2003"/>
      <c r="G19" s="1032">
        <f>'1.2 студ'!$L$26</f>
        <v>7500</v>
      </c>
      <c r="H19" s="536">
        <f t="shared" si="0"/>
        <v>7500</v>
      </c>
    </row>
    <row r="20" spans="1:8" s="1513" customFormat="1" ht="17.25" customHeight="1">
      <c r="A20" s="1513">
        <v>20</v>
      </c>
      <c r="B20" s="2012" t="s">
        <v>1662</v>
      </c>
      <c r="C20" s="2013"/>
      <c r="D20" s="2013"/>
      <c r="E20" s="2013"/>
      <c r="F20" s="2014"/>
      <c r="G20" s="1514">
        <f>SUM(G21:G41)</f>
        <v>84727</v>
      </c>
      <c r="H20" s="1515">
        <f>SUM(H21:H41)</f>
        <v>84727</v>
      </c>
    </row>
    <row r="21" spans="2:8" s="338" customFormat="1" ht="25.5" customHeight="1">
      <c r="B21" s="1031">
        <v>1</v>
      </c>
      <c r="C21" s="867" t="str">
        <f>'1.3 шк'!B7</f>
        <v>В/б (юн.дев.) Первенство школ</v>
      </c>
      <c r="D21" s="532" t="s">
        <v>1889</v>
      </c>
      <c r="E21" s="535" t="s">
        <v>75</v>
      </c>
      <c r="F21" s="245"/>
      <c r="G21" s="1033">
        <f>'1.3 шк'!$L$7</f>
        <v>9697</v>
      </c>
      <c r="H21" s="536">
        <f t="shared" si="0"/>
        <v>9697</v>
      </c>
    </row>
    <row r="22" spans="2:8" s="338" customFormat="1" ht="25.5" customHeight="1">
      <c r="B22" s="1031"/>
      <c r="C22" s="867" t="str">
        <f>'1.3 шк'!B8</f>
        <v>Мини-футбол Первенство школ</v>
      </c>
      <c r="D22" s="532" t="s">
        <v>1889</v>
      </c>
      <c r="E22" s="535" t="s">
        <v>130</v>
      </c>
      <c r="F22" s="245"/>
      <c r="G22" s="1033">
        <f>'1.3 шк'!L8</f>
        <v>1200</v>
      </c>
      <c r="H22" s="536">
        <f t="shared" si="0"/>
        <v>1200</v>
      </c>
    </row>
    <row r="23" spans="2:8" s="338" customFormat="1" ht="39" customHeight="1">
      <c r="B23" s="1031">
        <v>2</v>
      </c>
      <c r="C23" s="264" t="str">
        <f>'1.3 шк'!B11</f>
        <v>Л/г 1 тур. Первенство школ ЗАТО Северск</v>
      </c>
      <c r="D23" s="532" t="s">
        <v>1889</v>
      </c>
      <c r="E23" s="513" t="s">
        <v>1664</v>
      </c>
      <c r="F23" s="245"/>
      <c r="G23" s="1033">
        <f>'1.3 шк'!L11</f>
        <v>1735</v>
      </c>
      <c r="H23" s="536">
        <f t="shared" si="0"/>
        <v>1735</v>
      </c>
    </row>
    <row r="24" spans="2:8" s="338" customFormat="1" ht="18.75" customHeight="1">
      <c r="B24" s="1031">
        <v>3</v>
      </c>
      <c r="C24" s="264" t="str">
        <f>'1.3 шк'!B12</f>
        <v>Коньки. Первенство школ ЗАТО Северск</v>
      </c>
      <c r="D24" s="532" t="s">
        <v>1889</v>
      </c>
      <c r="E24" s="436" t="s">
        <v>1363</v>
      </c>
      <c r="F24" s="245"/>
      <c r="G24" s="1033">
        <f>'1.3 шк'!L12</f>
        <v>1735</v>
      </c>
      <c r="H24" s="536">
        <f t="shared" si="0"/>
        <v>1735</v>
      </c>
    </row>
    <row r="25" spans="2:8" s="338" customFormat="1" ht="24" customHeight="1">
      <c r="B25" s="1031">
        <v>4</v>
      </c>
      <c r="C25" s="264" t="str">
        <f>'1.3 шк'!B16</f>
        <v>Л/г 2 тур. Первенство школ ЗАТО Северск</v>
      </c>
      <c r="D25" s="532" t="s">
        <v>1634</v>
      </c>
      <c r="E25" s="406" t="s">
        <v>1363</v>
      </c>
      <c r="F25" s="1043"/>
      <c r="G25" s="1033">
        <f>'1.3 шк'!L16</f>
        <v>1735</v>
      </c>
      <c r="H25" s="536">
        <f t="shared" si="0"/>
        <v>1735</v>
      </c>
    </row>
    <row r="26" spans="2:8" s="338" customFormat="1" ht="24" customHeight="1">
      <c r="B26" s="1031"/>
      <c r="C26" s="264" t="str">
        <f>'1.3 шк'!B27</f>
        <v>Л.А " Дружба"  среди школ ЗАТО Северск.</v>
      </c>
      <c r="D26" s="532" t="s">
        <v>1634</v>
      </c>
      <c r="E26" s="406" t="s">
        <v>1363</v>
      </c>
      <c r="F26" s="1271"/>
      <c r="G26" s="1033">
        <f>'1.3 шк'!L27</f>
        <v>300</v>
      </c>
      <c r="H26" s="536">
        <f t="shared" si="0"/>
        <v>300</v>
      </c>
    </row>
    <row r="27" spans="2:8" s="338" customFormat="1" ht="24" customHeight="1">
      <c r="B27" s="1031">
        <v>5</v>
      </c>
      <c r="C27" s="264" t="str">
        <f>'1.3 шк'!B17</f>
        <v>Гиревой спорт. Первенство школ ЗАТО Северск.</v>
      </c>
      <c r="D27" s="532" t="s">
        <v>1634</v>
      </c>
      <c r="E27" s="436" t="s">
        <v>1363</v>
      </c>
      <c r="F27" s="1104"/>
      <c r="G27" s="1033">
        <f>'1.3 шк'!L17</f>
        <v>1559</v>
      </c>
      <c r="H27" s="536">
        <f t="shared" si="0"/>
        <v>1559</v>
      </c>
    </row>
    <row r="28" spans="2:8" s="338" customFormat="1" ht="20.25" customHeight="1">
      <c r="B28" s="1031">
        <v>6</v>
      </c>
      <c r="C28" s="264" t="str">
        <f>'1.3 шк'!B18</f>
        <v>Б/б. Турнир пам. Ю.Н. Гумерова. ООШ (юн.)</v>
      </c>
      <c r="D28" s="532" t="s">
        <v>1634</v>
      </c>
      <c r="E28" s="436" t="s">
        <v>1363</v>
      </c>
      <c r="F28" s="2015" t="s">
        <v>450</v>
      </c>
      <c r="G28" s="1033">
        <f>'1.3 шк'!L18</f>
        <v>4005</v>
      </c>
      <c r="H28" s="536">
        <f t="shared" si="0"/>
        <v>4005</v>
      </c>
    </row>
    <row r="29" spans="2:8" s="338" customFormat="1" ht="26.25" customHeight="1">
      <c r="B29" s="1031">
        <v>7</v>
      </c>
      <c r="C29" s="401" t="s">
        <v>1665</v>
      </c>
      <c r="D29" s="532" t="s">
        <v>1634</v>
      </c>
      <c r="E29" s="436" t="s">
        <v>927</v>
      </c>
      <c r="F29" s="2015"/>
      <c r="G29" s="1033">
        <f>'1.3 шк'!L22</f>
        <v>4248</v>
      </c>
      <c r="H29" s="536">
        <f t="shared" si="0"/>
        <v>4248</v>
      </c>
    </row>
    <row r="30" spans="2:8" s="338" customFormat="1" ht="17.25" customHeight="1">
      <c r="B30" s="1031">
        <v>8</v>
      </c>
      <c r="C30" s="264" t="str">
        <f>'1.3 шк'!B23</f>
        <v>Плавание. Первенство школ</v>
      </c>
      <c r="D30" s="532" t="s">
        <v>1634</v>
      </c>
      <c r="E30" s="436" t="s">
        <v>1363</v>
      </c>
      <c r="F30" s="2015"/>
      <c r="G30" s="1033">
        <f>'1.3 шк'!L23</f>
        <v>1619</v>
      </c>
      <c r="H30" s="536">
        <f t="shared" si="0"/>
        <v>1619</v>
      </c>
    </row>
    <row r="31" spans="2:8" s="338" customFormat="1" ht="17.25" customHeight="1">
      <c r="B31" s="1031">
        <v>9</v>
      </c>
      <c r="C31" s="401" t="s">
        <v>1666</v>
      </c>
      <c r="D31" s="532" t="s">
        <v>1634</v>
      </c>
      <c r="E31" s="436" t="s">
        <v>1363</v>
      </c>
      <c r="F31" s="2015"/>
      <c r="G31" s="1033">
        <f>'1.3 шк'!L24</f>
        <v>4967</v>
      </c>
      <c r="H31" s="536">
        <f t="shared" si="0"/>
        <v>4967</v>
      </c>
    </row>
    <row r="32" spans="2:8" s="338" customFormat="1" ht="21.75" customHeight="1">
      <c r="B32" s="1031">
        <v>11</v>
      </c>
      <c r="C32" s="264" t="str">
        <f>'1.3 шк'!B28</f>
        <v>Подведение итогов городской Спартакиады школьников</v>
      </c>
      <c r="D32" s="532" t="s">
        <v>1634</v>
      </c>
      <c r="E32" s="436" t="s">
        <v>1363</v>
      </c>
      <c r="F32" s="2015"/>
      <c r="G32" s="1033">
        <f>'1.3 шк'!L28</f>
        <v>12000</v>
      </c>
      <c r="H32" s="536">
        <f t="shared" si="0"/>
        <v>12000</v>
      </c>
    </row>
    <row r="33" spans="2:8" s="338" customFormat="1" ht="19.5" customHeight="1">
      <c r="B33" s="1031">
        <v>12</v>
      </c>
      <c r="C33" s="264" t="str">
        <f>'1.3 шк'!B32</f>
        <v>Л/а. Первенство школ ЗАТО Северск.</v>
      </c>
      <c r="D33" s="532" t="s">
        <v>1635</v>
      </c>
      <c r="E33" s="436" t="s">
        <v>1363</v>
      </c>
      <c r="F33" s="2015"/>
      <c r="G33" s="1033">
        <f>'1.3 шк'!L32</f>
        <v>7256</v>
      </c>
      <c r="H33" s="536">
        <f t="shared" si="0"/>
        <v>7256</v>
      </c>
    </row>
    <row r="34" spans="2:8" s="338" customFormat="1" ht="17.25" customHeight="1">
      <c r="B34" s="1031">
        <v>13</v>
      </c>
      <c r="C34" s="264" t="str">
        <f>'1.3 шк'!B33</f>
        <v>Городошный спорт. Первенство школ ЗАТО Северск.</v>
      </c>
      <c r="D34" s="532" t="s">
        <v>1635</v>
      </c>
      <c r="E34" s="436" t="s">
        <v>1363</v>
      </c>
      <c r="F34" s="2015"/>
      <c r="G34" s="1033">
        <f>'1.3 шк'!L33</f>
        <v>2156</v>
      </c>
      <c r="H34" s="536">
        <f t="shared" si="0"/>
        <v>2156</v>
      </c>
    </row>
    <row r="35" spans="2:8" s="338" customFormat="1" ht="21" customHeight="1">
      <c r="B35" s="1031">
        <v>14</v>
      </c>
      <c r="C35" s="264" t="str">
        <f>'1.3 шк'!B34</f>
        <v>Л/а кросс среди школ ЗАТО Северск.</v>
      </c>
      <c r="D35" s="532" t="s">
        <v>1635</v>
      </c>
      <c r="E35" s="436" t="s">
        <v>1363</v>
      </c>
      <c r="F35" s="2015"/>
      <c r="G35" s="1033">
        <f>'1.3 шк'!L34</f>
        <v>1437</v>
      </c>
      <c r="H35" s="536">
        <f t="shared" si="0"/>
        <v>1437</v>
      </c>
    </row>
    <row r="36" spans="2:8" s="338" customFormat="1" ht="21" customHeight="1">
      <c r="B36" s="1031"/>
      <c r="C36" s="264" t="str">
        <f>'1.3 шк'!B35</f>
        <v>Мини-футбол. Первенство школ.</v>
      </c>
      <c r="D36" s="532" t="s">
        <v>1635</v>
      </c>
      <c r="E36" s="436" t="s">
        <v>1363</v>
      </c>
      <c r="F36" s="2015"/>
      <c r="G36" s="1033">
        <f>'1.3 шк'!L35</f>
        <v>7478</v>
      </c>
      <c r="H36" s="536">
        <f t="shared" si="0"/>
        <v>7478</v>
      </c>
    </row>
    <row r="37" spans="2:8" s="338" customFormat="1" ht="21" customHeight="1">
      <c r="B37" s="1031">
        <v>16</v>
      </c>
      <c r="C37" s="264" t="str">
        <f>'1.3 шк'!B39</f>
        <v>Русская лапта (юн.). Первенство школ ЗАТО Северск.</v>
      </c>
      <c r="D37" s="532" t="s">
        <v>1636</v>
      </c>
      <c r="E37" s="436" t="s">
        <v>1363</v>
      </c>
      <c r="F37" s="2015"/>
      <c r="G37" s="1033">
        <f>'1.3 шк'!L39</f>
        <v>5267</v>
      </c>
      <c r="H37" s="536">
        <f t="shared" si="0"/>
        <v>5267</v>
      </c>
    </row>
    <row r="38" spans="2:8" s="338" customFormat="1" ht="21" customHeight="1">
      <c r="B38" s="1031">
        <v>17</v>
      </c>
      <c r="C38" s="264" t="str">
        <f>'1.3 шк'!B42</f>
        <v>Шахматы "Белая ладья". Первенство школ ЗАТО Северск.</v>
      </c>
      <c r="D38" s="532" t="s">
        <v>1636</v>
      </c>
      <c r="E38" s="436" t="s">
        <v>1363</v>
      </c>
      <c r="F38" s="2016"/>
      <c r="G38" s="1033">
        <f>'1.3 шк'!L42</f>
        <v>2006</v>
      </c>
      <c r="H38" s="536">
        <f t="shared" si="0"/>
        <v>2006</v>
      </c>
    </row>
    <row r="39" spans="2:8" s="338" customFormat="1" ht="23.25" customHeight="1">
      <c r="B39" s="1031">
        <v>18</v>
      </c>
      <c r="C39" s="264" t="str">
        <f>'1.3 шк'!B43</f>
        <v>Б/б (дев). Первенство школ ЗАТО Северск.</v>
      </c>
      <c r="D39" s="532" t="s">
        <v>1636</v>
      </c>
      <c r="E39" s="436" t="s">
        <v>1363</v>
      </c>
      <c r="F39" s="1043"/>
      <c r="G39" s="1033">
        <f>'1.3 шк'!L43</f>
        <v>4848</v>
      </c>
      <c r="H39" s="536">
        <f t="shared" si="0"/>
        <v>4848</v>
      </c>
    </row>
    <row r="40" spans="2:8" s="338" customFormat="1" ht="19.5" customHeight="1">
      <c r="B40" s="1031">
        <v>19</v>
      </c>
      <c r="C40" s="264" t="str">
        <f>'1.3 шк'!B44</f>
        <v>Р/л (дев). Первенство школ ЗАТО Северск.</v>
      </c>
      <c r="D40" s="532" t="s">
        <v>1636</v>
      </c>
      <c r="E40" s="436" t="s">
        <v>1363</v>
      </c>
      <c r="F40" s="1043"/>
      <c r="G40" s="1033">
        <f>'1.3 шк'!L44</f>
        <v>4631</v>
      </c>
      <c r="H40" s="536">
        <f t="shared" si="0"/>
        <v>4631</v>
      </c>
    </row>
    <row r="41" spans="2:8" s="338" customFormat="1" ht="20.25" customHeight="1">
      <c r="B41" s="1031">
        <v>20</v>
      </c>
      <c r="C41" s="264" t="str">
        <f>'1.3 шк'!B47</f>
        <v>Б/б (юн). Первенство школ ЗАТО Северск.</v>
      </c>
      <c r="D41" s="532" t="s">
        <v>1636</v>
      </c>
      <c r="E41" s="436" t="s">
        <v>1363</v>
      </c>
      <c r="F41" s="1043"/>
      <c r="G41" s="1033">
        <f>'1.3 шк'!L47</f>
        <v>4848</v>
      </c>
      <c r="H41" s="536">
        <f t="shared" si="0"/>
        <v>4848</v>
      </c>
    </row>
    <row r="42" spans="1:8" s="1513" customFormat="1" ht="27" customHeight="1">
      <c r="A42" s="1513">
        <v>7</v>
      </c>
      <c r="B42" s="2017" t="s">
        <v>44</v>
      </c>
      <c r="C42" s="2018"/>
      <c r="D42" s="2018"/>
      <c r="E42" s="2018"/>
      <c r="F42" s="2019"/>
      <c r="G42" s="1518">
        <f>SUM(G43:G49)</f>
        <v>219560</v>
      </c>
      <c r="H42" s="1519">
        <f>SUM(H43:H49)</f>
        <v>219560</v>
      </c>
    </row>
    <row r="43" spans="2:8" s="338" customFormat="1" ht="23.25" customHeight="1">
      <c r="B43" s="1034">
        <v>1</v>
      </c>
      <c r="C43" s="537" t="str">
        <f>'1.4 спарт.шк'!B7</f>
        <v>Зональные сор.школ.Томск в/б</v>
      </c>
      <c r="D43" s="532" t="s">
        <v>1889</v>
      </c>
      <c r="E43" s="264" t="s">
        <v>928</v>
      </c>
      <c r="F43" s="407"/>
      <c r="G43" s="1035">
        <f>'1.4 спарт.шк'!$O$7</f>
        <v>20400</v>
      </c>
      <c r="H43" s="536">
        <f t="shared" si="0"/>
        <v>20400</v>
      </c>
    </row>
    <row r="44" spans="2:8" s="338" customFormat="1" ht="26.25" customHeight="1">
      <c r="B44" s="1036">
        <v>2</v>
      </c>
      <c r="C44" s="402" t="str">
        <f>'1.4 спарт.шк'!B8</f>
        <v>Зональные сор.школ.Томск б/б</v>
      </c>
      <c r="D44" s="532" t="s">
        <v>1889</v>
      </c>
      <c r="E44" s="264" t="s">
        <v>928</v>
      </c>
      <c r="F44" s="407"/>
      <c r="G44" s="1035">
        <f>'1.4 спарт.шк'!$O$8</f>
        <v>22000</v>
      </c>
      <c r="H44" s="536">
        <f t="shared" si="0"/>
        <v>22000</v>
      </c>
    </row>
    <row r="45" spans="2:8" s="338" customFormat="1" ht="23.25" customHeight="1">
      <c r="B45" s="1034">
        <v>3</v>
      </c>
      <c r="C45" s="264" t="str">
        <f>'1.4 спарт.шк'!B9</f>
        <v>Финальные сор.школ.Томск лыжи</v>
      </c>
      <c r="D45" s="532" t="s">
        <v>1889</v>
      </c>
      <c r="E45" s="264" t="s">
        <v>928</v>
      </c>
      <c r="F45" s="407"/>
      <c r="G45" s="1035">
        <f>'1.4 спарт.шк'!$O$9</f>
        <v>12600</v>
      </c>
      <c r="H45" s="536">
        <f>G45</f>
        <v>12600</v>
      </c>
    </row>
    <row r="46" spans="2:8" s="338" customFormat="1" ht="23.25" customHeight="1">
      <c r="B46" s="1034">
        <v>4</v>
      </c>
      <c r="C46" s="264" t="str">
        <f>'1.4 спарт.шк'!B10</f>
        <v>Финалы Хоккей и Полиатлон</v>
      </c>
      <c r="D46" s="532" t="s">
        <v>1889</v>
      </c>
      <c r="E46" s="264" t="s">
        <v>928</v>
      </c>
      <c r="F46" s="407"/>
      <c r="G46" s="1035">
        <f>'1.4 спарт.шк'!O10</f>
        <v>14400</v>
      </c>
      <c r="H46" s="536">
        <f>G46</f>
        <v>14400</v>
      </c>
    </row>
    <row r="47" spans="2:8" s="338" customFormat="1" ht="23.25" customHeight="1">
      <c r="B47" s="1034">
        <v>5</v>
      </c>
      <c r="C47" s="264" t="str">
        <f>'1.4 спарт.шк'!B13</f>
        <v>Финальные соревнования школ.б/б Томск</v>
      </c>
      <c r="D47" s="532" t="s">
        <v>1889</v>
      </c>
      <c r="E47" s="264" t="s">
        <v>929</v>
      </c>
      <c r="F47" s="407"/>
      <c r="G47" s="1032">
        <f>'1.4 спарт.шк'!O13</f>
        <v>14400</v>
      </c>
      <c r="H47" s="536">
        <f t="shared" si="0"/>
        <v>14400</v>
      </c>
    </row>
    <row r="48" spans="2:8" s="338" customFormat="1" ht="38.25" customHeight="1">
      <c r="B48" s="1036">
        <v>6</v>
      </c>
      <c r="C48" s="264" t="str">
        <f>'1.4 спарт.шк'!B17</f>
        <v>Зональн.соревн.школ.Томск</v>
      </c>
      <c r="D48" s="532" t="s">
        <v>1634</v>
      </c>
      <c r="E48" s="264" t="s">
        <v>929</v>
      </c>
      <c r="F48" s="407"/>
      <c r="G48" s="1032">
        <f>'1.4 спарт.шк'!O17</f>
        <v>29780</v>
      </c>
      <c r="H48" s="536">
        <f t="shared" si="0"/>
        <v>29780</v>
      </c>
    </row>
    <row r="49" spans="2:8" s="338" customFormat="1" ht="23.25" customHeight="1">
      <c r="B49" s="1034">
        <v>7</v>
      </c>
      <c r="C49" s="264" t="str">
        <f>'1.4 спарт.шк'!B24</f>
        <v>Финал областной спарт.шк.в с.Бакчар</v>
      </c>
      <c r="D49" s="532" t="s">
        <v>1634</v>
      </c>
      <c r="E49" s="264" t="s">
        <v>929</v>
      </c>
      <c r="F49" s="407"/>
      <c r="G49" s="1032">
        <f>'1.4 спарт.шк'!O24</f>
        <v>105980</v>
      </c>
      <c r="H49" s="536">
        <f t="shared" si="0"/>
        <v>105980</v>
      </c>
    </row>
    <row r="50" spans="1:8" s="1513" customFormat="1" ht="18.75" customHeight="1">
      <c r="A50" s="1513">
        <v>5</v>
      </c>
      <c r="B50" s="2020" t="s">
        <v>45</v>
      </c>
      <c r="C50" s="2021"/>
      <c r="D50" s="2022"/>
      <c r="E50" s="2022"/>
      <c r="F50" s="2023"/>
      <c r="G50" s="1516">
        <f>SUM(G51:G55)</f>
        <v>48847</v>
      </c>
      <c r="H50" s="1517">
        <f>SUM(H51:H55)</f>
        <v>48847</v>
      </c>
    </row>
    <row r="51" spans="2:8" s="338" customFormat="1" ht="18.75" customHeight="1">
      <c r="B51" s="1034">
        <v>1</v>
      </c>
      <c r="C51" s="539" t="str">
        <f>'1.5 гор.спар.допр'!B7</f>
        <v>".Операция Снайпер"</v>
      </c>
      <c r="D51" s="532" t="s">
        <v>1889</v>
      </c>
      <c r="E51" s="347" t="s">
        <v>302</v>
      </c>
      <c r="F51" s="1989" t="s">
        <v>994</v>
      </c>
      <c r="G51" s="1037">
        <f>'1.5 гор.спар.допр'!$M$7</f>
        <v>900</v>
      </c>
      <c r="H51" s="536">
        <f t="shared" si="0"/>
        <v>900</v>
      </c>
    </row>
    <row r="52" spans="2:8" s="338" customFormat="1" ht="18.75" customHeight="1">
      <c r="B52" s="1034">
        <v>2</v>
      </c>
      <c r="C52" s="539" t="str">
        <f>'1.5 гор.спар.допр'!B10</f>
        <v>Допр.молод. Зимняя спартакиада</v>
      </c>
      <c r="D52" s="532" t="s">
        <v>1889</v>
      </c>
      <c r="E52" s="210" t="s">
        <v>301</v>
      </c>
      <c r="F52" s="1990"/>
      <c r="G52" s="1037">
        <f>'1.5 гор.спар.допр'!$M$10</f>
        <v>13508</v>
      </c>
      <c r="H52" s="536">
        <f t="shared" si="0"/>
        <v>13508</v>
      </c>
    </row>
    <row r="53" spans="2:8" s="338" customFormat="1" ht="18.75" customHeight="1">
      <c r="B53" s="1034">
        <v>3</v>
      </c>
      <c r="C53" s="539" t="str">
        <f>'1.5 гор.спар.допр'!B11</f>
        <v>Фестиваль  допризывной молодежи"Полигон-2006"</v>
      </c>
      <c r="D53" s="532" t="s">
        <v>1889</v>
      </c>
      <c r="E53" s="210" t="s">
        <v>302</v>
      </c>
      <c r="F53" s="1990"/>
      <c r="G53" s="1037">
        <f>'1.5 гор.спар.допр'!$M$11</f>
        <v>6317</v>
      </c>
      <c r="H53" s="536">
        <f t="shared" si="0"/>
        <v>6317</v>
      </c>
    </row>
    <row r="54" spans="2:8" s="338" customFormat="1" ht="18.75" customHeight="1">
      <c r="B54" s="1034">
        <v>4</v>
      </c>
      <c r="C54" s="539" t="str">
        <f>'1.5 гор.спар.допр'!B16</f>
        <v>Доприз.молод.Летняя Спартакиада</v>
      </c>
      <c r="D54" s="532" t="s">
        <v>1634</v>
      </c>
      <c r="E54" s="97" t="s">
        <v>301</v>
      </c>
      <c r="F54" s="1990"/>
      <c r="G54" s="1037">
        <f>'1.5 гор.спар.допр'!$M$16</f>
        <v>15145</v>
      </c>
      <c r="H54" s="536">
        <f t="shared" si="0"/>
        <v>15145</v>
      </c>
    </row>
    <row r="55" spans="2:8" s="338" customFormat="1" ht="18.75" customHeight="1">
      <c r="B55" s="1034">
        <v>5</v>
      </c>
      <c r="C55" s="539" t="str">
        <f>'1.5 гор.спар.допр'!B19</f>
        <v>Доприз.молод.Спартакиада среди спортивных клубов</v>
      </c>
      <c r="D55" s="532" t="s">
        <v>1634</v>
      </c>
      <c r="E55" s="142" t="s">
        <v>541</v>
      </c>
      <c r="F55" s="1991"/>
      <c r="G55" s="1037">
        <f>'1.5 гор.спар.допр'!$M$19</f>
        <v>12977</v>
      </c>
      <c r="H55" s="536">
        <f t="shared" si="0"/>
        <v>12977</v>
      </c>
    </row>
    <row r="56" spans="1:8" s="1513" customFormat="1" ht="20.25" customHeight="1">
      <c r="A56" s="1513">
        <v>4</v>
      </c>
      <c r="B56" s="1998" t="s">
        <v>46</v>
      </c>
      <c r="C56" s="1999"/>
      <c r="D56" s="1999"/>
      <c r="E56" s="1999"/>
      <c r="F56" s="1999"/>
      <c r="G56" s="1516">
        <f>SUM(G57:G60)</f>
        <v>64020</v>
      </c>
      <c r="H56" s="1517">
        <f>SUM(H57:H60)</f>
        <v>64020</v>
      </c>
    </row>
    <row r="57" spans="2:8" s="338" customFormat="1" ht="26.25" customHeight="1">
      <c r="B57" s="1031">
        <v>1</v>
      </c>
      <c r="C57" s="264" t="s">
        <v>1382</v>
      </c>
      <c r="D57" s="532" t="s">
        <v>1889</v>
      </c>
      <c r="E57" s="264" t="s">
        <v>890</v>
      </c>
      <c r="F57" s="2004" t="s">
        <v>789</v>
      </c>
      <c r="G57" s="1032">
        <f>'1.6 выезд.спар.допр'!O7</f>
        <v>3580</v>
      </c>
      <c r="H57" s="536">
        <f>'1.6 выезд.спар.допр'!O7</f>
        <v>3580</v>
      </c>
    </row>
    <row r="58" spans="2:8" s="338" customFormat="1" ht="24" customHeight="1">
      <c r="B58" s="1031">
        <v>2</v>
      </c>
      <c r="C58" s="264" t="s">
        <v>1383</v>
      </c>
      <c r="D58" s="532" t="s">
        <v>1634</v>
      </c>
      <c r="E58" s="534" t="s">
        <v>1385</v>
      </c>
      <c r="F58" s="2004"/>
      <c r="G58" s="1032">
        <f>'1.6 выезд.спар.допр'!O11</f>
        <v>40320</v>
      </c>
      <c r="H58" s="536">
        <f>'1.6 выезд.спар.допр'!O11</f>
        <v>40320</v>
      </c>
    </row>
    <row r="59" spans="2:8" s="338" customFormat="1" ht="25.5" customHeight="1">
      <c r="B59" s="1031">
        <v>3</v>
      </c>
      <c r="C59" s="264" t="s">
        <v>1384</v>
      </c>
      <c r="D59" s="532" t="s">
        <v>1635</v>
      </c>
      <c r="E59" s="264" t="s">
        <v>890</v>
      </c>
      <c r="F59" s="2004"/>
      <c r="G59" s="1032">
        <f>'1.6 выезд.спар.допр'!O14</f>
        <v>7320</v>
      </c>
      <c r="H59" s="536">
        <f>'1.6 выезд.спар.допр'!O14</f>
        <v>7320</v>
      </c>
    </row>
    <row r="60" spans="2:8" s="338" customFormat="1" ht="25.5" customHeight="1">
      <c r="B60" s="1031">
        <v>4</v>
      </c>
      <c r="C60" s="264" t="s">
        <v>303</v>
      </c>
      <c r="D60" s="532" t="s">
        <v>1635</v>
      </c>
      <c r="E60" s="534" t="s">
        <v>1385</v>
      </c>
      <c r="F60" s="1043"/>
      <c r="G60" s="1032">
        <f>'1.6 выезд.спар.допр'!O15</f>
        <v>12800</v>
      </c>
      <c r="H60" s="536">
        <f>'1.6 выезд.спар.допр'!O15</f>
        <v>12800</v>
      </c>
    </row>
    <row r="61" spans="1:8" s="1513" customFormat="1" ht="19.5" customHeight="1">
      <c r="A61" s="1513">
        <v>14</v>
      </c>
      <c r="B61" s="2005" t="s">
        <v>47</v>
      </c>
      <c r="C61" s="2006"/>
      <c r="D61" s="2006"/>
      <c r="E61" s="2006"/>
      <c r="F61" s="2006"/>
      <c r="G61" s="1516">
        <f>ROUNDDOWN(SUM(G62:G67),0)</f>
        <v>105584</v>
      </c>
      <c r="H61" s="1517">
        <f>ROUNDDOWN(SUM(H62:H67),0)</f>
        <v>105584</v>
      </c>
    </row>
    <row r="62" spans="2:8" s="338" customFormat="1" ht="24.75" customHeight="1">
      <c r="B62" s="1031">
        <v>1</v>
      </c>
      <c r="C62" s="264" t="s">
        <v>1520</v>
      </c>
      <c r="D62" s="532" t="s">
        <v>743</v>
      </c>
      <c r="E62" s="245" t="s">
        <v>541</v>
      </c>
      <c r="F62" s="1989" t="s">
        <v>1329</v>
      </c>
      <c r="G62" s="1032">
        <f>'1.7 ЖЭУ'!M8+'1.7 ЖЭУ'!M11+'1.7 ЖЭУ'!K19+'1.7 ЖЭУ'!K28</f>
        <v>50000</v>
      </c>
      <c r="H62" s="536">
        <f aca="true" t="shared" si="1" ref="H62:H67">G62</f>
        <v>50000</v>
      </c>
    </row>
    <row r="63" spans="2:8" s="338" customFormat="1" ht="17.25" customHeight="1">
      <c r="B63" s="1031">
        <v>3</v>
      </c>
      <c r="C63" s="264" t="s">
        <v>1905</v>
      </c>
      <c r="D63" s="532" t="s">
        <v>1889</v>
      </c>
      <c r="E63" s="245" t="s">
        <v>541</v>
      </c>
      <c r="F63" s="1990"/>
      <c r="G63" s="1032">
        <f>'1.7 ЖЭУ'!M7</f>
        <v>4015</v>
      </c>
      <c r="H63" s="536">
        <f t="shared" si="1"/>
        <v>4015</v>
      </c>
    </row>
    <row r="64" spans="2:8" s="338" customFormat="1" ht="19.5" customHeight="1">
      <c r="B64" s="1031">
        <v>4</v>
      </c>
      <c r="C64" s="264" t="s">
        <v>1519</v>
      </c>
      <c r="D64" s="532" t="s">
        <v>1889</v>
      </c>
      <c r="E64" s="245" t="s">
        <v>541</v>
      </c>
      <c r="F64" s="1990"/>
      <c r="G64" s="1032">
        <f>'1.7 ЖЭУ'!M12</f>
        <v>20585</v>
      </c>
      <c r="H64" s="536">
        <f t="shared" si="1"/>
        <v>20585</v>
      </c>
    </row>
    <row r="65" spans="2:8" s="338" customFormat="1" ht="24" customHeight="1">
      <c r="B65" s="1031">
        <v>6</v>
      </c>
      <c r="C65" s="264" t="str">
        <f>'1.7 ЖЭУ'!B22</f>
        <v>ЖЭУ. Стрельба из пневм.винтовки</v>
      </c>
      <c r="D65" s="532" t="s">
        <v>1635</v>
      </c>
      <c r="E65" s="245" t="s">
        <v>928</v>
      </c>
      <c r="F65" s="1990"/>
      <c r="G65" s="1032">
        <f>'1.7 ЖЭУ'!M22</f>
        <v>4500</v>
      </c>
      <c r="H65" s="536">
        <f t="shared" si="1"/>
        <v>4500</v>
      </c>
    </row>
    <row r="66" spans="2:8" s="338" customFormat="1" ht="22.5" customHeight="1">
      <c r="B66" s="1031">
        <v>8</v>
      </c>
      <c r="C66" s="261" t="s">
        <v>1017</v>
      </c>
      <c r="D66" s="532" t="s">
        <v>1635</v>
      </c>
      <c r="E66" s="245" t="s">
        <v>541</v>
      </c>
      <c r="F66" s="1990"/>
      <c r="G66" s="1032">
        <f>'1.7 ЖЭУ'!M16</f>
        <v>21119</v>
      </c>
      <c r="H66" s="536">
        <f t="shared" si="1"/>
        <v>21119</v>
      </c>
    </row>
    <row r="67" spans="2:8" s="338" customFormat="1" ht="26.25" customHeight="1">
      <c r="B67" s="1031">
        <v>10</v>
      </c>
      <c r="C67" s="265" t="s">
        <v>1016</v>
      </c>
      <c r="D67" s="532" t="s">
        <v>1636</v>
      </c>
      <c r="E67" s="245" t="s">
        <v>541</v>
      </c>
      <c r="F67" s="1991"/>
      <c r="G67" s="1032">
        <f>'1.7 ЖЭУ'!M25</f>
        <v>5365</v>
      </c>
      <c r="H67" s="536">
        <f t="shared" si="1"/>
        <v>5365</v>
      </c>
    </row>
    <row r="68" spans="1:8" s="1513" customFormat="1" ht="18.75" customHeight="1">
      <c r="A68" s="1513">
        <v>2</v>
      </c>
      <c r="B68" s="2005" t="s">
        <v>171</v>
      </c>
      <c r="C68" s="2006"/>
      <c r="D68" s="2006"/>
      <c r="E68" s="2006"/>
      <c r="F68" s="2006"/>
      <c r="G68" s="1516">
        <f>SUM(G69:G70)</f>
        <v>66373</v>
      </c>
      <c r="H68" s="1517">
        <f>SUM(H69:H70)</f>
        <v>66373</v>
      </c>
    </row>
    <row r="69" spans="2:8" s="338" customFormat="1" ht="36">
      <c r="B69" s="1031">
        <v>1</v>
      </c>
      <c r="C69" s="264" t="s">
        <v>1120</v>
      </c>
      <c r="D69" s="532" t="s">
        <v>1634</v>
      </c>
      <c r="E69" s="245" t="s">
        <v>541</v>
      </c>
      <c r="F69" s="1984"/>
      <c r="G69" s="1032">
        <f>'1.8 озд.лагеря'!K7</f>
        <v>44201</v>
      </c>
      <c r="H69" s="536">
        <f>G69</f>
        <v>44201</v>
      </c>
    </row>
    <row r="70" spans="2:8" s="338" customFormat="1" ht="36">
      <c r="B70" s="1031">
        <v>2</v>
      </c>
      <c r="C70" s="264" t="s">
        <v>1906</v>
      </c>
      <c r="D70" s="532" t="s">
        <v>1635</v>
      </c>
      <c r="E70" s="245" t="s">
        <v>541</v>
      </c>
      <c r="F70" s="1984"/>
      <c r="G70" s="1038">
        <f>'1.8 озд.лагеря'!K12</f>
        <v>22172</v>
      </c>
      <c r="H70" s="1029">
        <f>G70</f>
        <v>22172</v>
      </c>
    </row>
    <row r="71" spans="1:8" s="1106" customFormat="1" ht="18" customHeight="1">
      <c r="A71" s="1314" t="e">
        <f>A72+#REF!+A85+A192+#REF!+#REF!</f>
        <v>#REF!</v>
      </c>
      <c r="B71" s="1995" t="s">
        <v>800</v>
      </c>
      <c r="C71" s="1996"/>
      <c r="D71" s="1996"/>
      <c r="E71" s="1996"/>
      <c r="F71" s="1997"/>
      <c r="G71" s="1315">
        <f>SUM(G72,G85,G192,)</f>
        <v>1411741</v>
      </c>
      <c r="H71" s="1632">
        <f>SUM(H72,H85,H192,)</f>
        <v>1411741</v>
      </c>
    </row>
    <row r="72" spans="1:8" s="1513" customFormat="1" ht="21" customHeight="1">
      <c r="A72" s="1513">
        <v>15</v>
      </c>
      <c r="B72" s="1998" t="s">
        <v>109</v>
      </c>
      <c r="C72" s="1999"/>
      <c r="D72" s="1999"/>
      <c r="E72" s="1999"/>
      <c r="F72" s="1999"/>
      <c r="G72" s="1514">
        <f>SUM(G73:G84)</f>
        <v>72292</v>
      </c>
      <c r="H72" s="1515">
        <f>SUM(H73:H84)</f>
        <v>72292</v>
      </c>
    </row>
    <row r="73" spans="2:8" s="338" customFormat="1" ht="21" customHeight="1">
      <c r="B73" s="1031">
        <v>1</v>
      </c>
      <c r="C73" s="264" t="s">
        <v>1730</v>
      </c>
      <c r="D73" s="532" t="s">
        <v>1889</v>
      </c>
      <c r="E73" s="245" t="s">
        <v>469</v>
      </c>
      <c r="F73" s="1989" t="s">
        <v>1306</v>
      </c>
      <c r="G73" s="1032">
        <f>'2.1 инв'!K8</f>
        <v>8262</v>
      </c>
      <c r="H73" s="536">
        <f aca="true" t="shared" si="2" ref="H73:H86">G73</f>
        <v>8262</v>
      </c>
    </row>
    <row r="74" spans="2:8" s="338" customFormat="1" ht="30.75" customHeight="1">
      <c r="B74" s="1031">
        <v>2</v>
      </c>
      <c r="C74" s="264" t="s">
        <v>1268</v>
      </c>
      <c r="D74" s="532" t="s">
        <v>1889</v>
      </c>
      <c r="E74" s="245" t="s">
        <v>469</v>
      </c>
      <c r="F74" s="1990"/>
      <c r="G74" s="1032">
        <f>'2.1 инв'!K11</f>
        <v>8631</v>
      </c>
      <c r="H74" s="536">
        <f t="shared" si="2"/>
        <v>8631</v>
      </c>
    </row>
    <row r="75" spans="2:8" s="338" customFormat="1" ht="22.5" customHeight="1">
      <c r="B75" s="1031">
        <v>3</v>
      </c>
      <c r="C75" s="264" t="s">
        <v>1731</v>
      </c>
      <c r="D75" s="532" t="s">
        <v>1889</v>
      </c>
      <c r="E75" s="245" t="s">
        <v>469</v>
      </c>
      <c r="F75" s="1990"/>
      <c r="G75" s="1032">
        <f>'2.1 инв'!K14</f>
        <v>2765</v>
      </c>
      <c r="H75" s="536">
        <f t="shared" si="2"/>
        <v>2765</v>
      </c>
    </row>
    <row r="76" spans="2:8" s="338" customFormat="1" ht="18.75" customHeight="1">
      <c r="B76" s="1031">
        <v>4</v>
      </c>
      <c r="C76" s="264" t="s">
        <v>451</v>
      </c>
      <c r="D76" s="532" t="s">
        <v>1889</v>
      </c>
      <c r="E76" s="245" t="s">
        <v>469</v>
      </c>
      <c r="F76" s="1990"/>
      <c r="G76" s="1032">
        <f>'2.1 инв'!K15</f>
        <v>2683</v>
      </c>
      <c r="H76" s="536">
        <f t="shared" si="2"/>
        <v>2683</v>
      </c>
    </row>
    <row r="77" spans="2:8" s="338" customFormat="1" ht="18.75" customHeight="1">
      <c r="B77" s="1031"/>
      <c r="C77" s="264" t="str">
        <f>'2.1 инв'!B18</f>
        <v>Инвалиды.  Мини футбол</v>
      </c>
      <c r="D77" s="532" t="s">
        <v>1889</v>
      </c>
      <c r="E77" s="245" t="s">
        <v>469</v>
      </c>
      <c r="F77" s="1990"/>
      <c r="G77" s="1032">
        <f>'2.1 инв'!K18</f>
        <v>3119</v>
      </c>
      <c r="H77" s="536">
        <f t="shared" si="2"/>
        <v>3119</v>
      </c>
    </row>
    <row r="78" spans="2:8" s="338" customFormat="1" ht="18.75" customHeight="1">
      <c r="B78" s="1031"/>
      <c r="C78" s="264" t="str">
        <f>'2.1 инв'!B19</f>
        <v>Инвалиды Плавание</v>
      </c>
      <c r="D78" s="532" t="s">
        <v>1889</v>
      </c>
      <c r="E78" s="245" t="s">
        <v>469</v>
      </c>
      <c r="F78" s="1990"/>
      <c r="G78" s="1032">
        <f>'2.1 инв'!K19</f>
        <v>1454</v>
      </c>
      <c r="H78" s="536">
        <f t="shared" si="2"/>
        <v>1454</v>
      </c>
    </row>
    <row r="79" spans="2:8" s="338" customFormat="1" ht="18.75" customHeight="1">
      <c r="B79" s="1031">
        <v>5</v>
      </c>
      <c r="C79" s="264" t="s">
        <v>434</v>
      </c>
      <c r="D79" s="532" t="s">
        <v>1634</v>
      </c>
      <c r="E79" s="245" t="s">
        <v>469</v>
      </c>
      <c r="F79" s="1990"/>
      <c r="G79" s="1032">
        <f>'2.1 инв'!K22</f>
        <v>4759</v>
      </c>
      <c r="H79" s="536">
        <f t="shared" si="2"/>
        <v>4759</v>
      </c>
    </row>
    <row r="80" spans="2:8" s="338" customFormat="1" ht="27" customHeight="1">
      <c r="B80" s="1031">
        <v>6</v>
      </c>
      <c r="C80" s="264" t="s">
        <v>293</v>
      </c>
      <c r="D80" s="532" t="s">
        <v>1634</v>
      </c>
      <c r="E80" s="245" t="s">
        <v>1018</v>
      </c>
      <c r="F80" s="1990"/>
      <c r="G80" s="1032">
        <f>'2.1 инв'!K25</f>
        <v>2250</v>
      </c>
      <c r="H80" s="536">
        <f t="shared" si="2"/>
        <v>2250</v>
      </c>
    </row>
    <row r="81" spans="2:8" s="338" customFormat="1" ht="18.75" customHeight="1">
      <c r="B81" s="1031">
        <v>7</v>
      </c>
      <c r="C81" s="264" t="str">
        <f>'2.1 инв'!B28</f>
        <v>  Фестиваль "Северские зори"</v>
      </c>
      <c r="D81" s="532" t="s">
        <v>1635</v>
      </c>
      <c r="E81" s="245" t="s">
        <v>469</v>
      </c>
      <c r="F81" s="1990"/>
      <c r="G81" s="1032">
        <f>'2.1 инв'!K28</f>
        <v>16410</v>
      </c>
      <c r="H81" s="536">
        <f t="shared" si="2"/>
        <v>16410</v>
      </c>
    </row>
    <row r="82" spans="2:8" s="338" customFormat="1" ht="36">
      <c r="B82" s="1031">
        <v>11</v>
      </c>
      <c r="C82" s="264" t="s">
        <v>1861</v>
      </c>
      <c r="D82" s="532" t="s">
        <v>1636</v>
      </c>
      <c r="E82" s="245" t="s">
        <v>469</v>
      </c>
      <c r="F82" s="1990"/>
      <c r="G82" s="1032">
        <f>'2.1 инв'!K31</f>
        <v>14120</v>
      </c>
      <c r="H82" s="536">
        <f t="shared" si="2"/>
        <v>14120</v>
      </c>
    </row>
    <row r="83" spans="2:8" s="338" customFormat="1" ht="23.25" customHeight="1">
      <c r="B83" s="1031">
        <v>12</v>
      </c>
      <c r="C83" s="264" t="s">
        <v>294</v>
      </c>
      <c r="D83" s="532" t="s">
        <v>1636</v>
      </c>
      <c r="E83" s="245" t="s">
        <v>1018</v>
      </c>
      <c r="F83" s="1990"/>
      <c r="G83" s="1032">
        <f>'2.1 инв'!K32</f>
        <v>1500</v>
      </c>
      <c r="H83" s="536">
        <f t="shared" si="2"/>
        <v>1500</v>
      </c>
    </row>
    <row r="84" spans="2:8" s="338" customFormat="1" ht="27" customHeight="1">
      <c r="B84" s="1031">
        <v>13</v>
      </c>
      <c r="C84" s="264" t="str">
        <f>'2.1 инв'!B33</f>
        <v>Зимнний спортивный Фестиваль "Зеленый мыс" (лыжи, шаш.,м/ф,  дартс, арм., н/т)</v>
      </c>
      <c r="D84" s="532" t="s">
        <v>1636</v>
      </c>
      <c r="E84" s="941" t="s">
        <v>1622</v>
      </c>
      <c r="F84" s="1991"/>
      <c r="G84" s="1032">
        <f>'2.1 инв'!K33</f>
        <v>6339</v>
      </c>
      <c r="H84" s="536">
        <f t="shared" si="2"/>
        <v>6339</v>
      </c>
    </row>
    <row r="85" spans="1:8" s="1513" customFormat="1" ht="24.75" customHeight="1">
      <c r="A85" s="1513">
        <v>27</v>
      </c>
      <c r="B85" s="1998" t="str">
        <f>'2.2 г.орг'!B1:P1</f>
        <v>Организация и проведение спортивных мероприятий в в/ч 3478, предприятиях, учреждениях  ЗАТО Северск и проведение годовой комплексной спартакиады. </v>
      </c>
      <c r="C85" s="1999"/>
      <c r="D85" s="1999"/>
      <c r="E85" s="1999"/>
      <c r="F85" s="1999"/>
      <c r="G85" s="1516">
        <f>SUM(G86:G191)</f>
        <v>1287765</v>
      </c>
      <c r="H85" s="1517">
        <f t="shared" si="2"/>
        <v>1287765</v>
      </c>
    </row>
    <row r="86" spans="2:8" s="338" customFormat="1" ht="18" customHeight="1">
      <c r="B86" s="1031">
        <v>1</v>
      </c>
      <c r="C86" s="245" t="s">
        <v>1182</v>
      </c>
      <c r="D86" s="532" t="s">
        <v>1889</v>
      </c>
      <c r="E86" s="245" t="s">
        <v>541</v>
      </c>
      <c r="F86" s="532"/>
      <c r="G86" s="1032">
        <f>'2.2 г.орг'!P7</f>
        <v>8014</v>
      </c>
      <c r="H86" s="1517">
        <f t="shared" si="2"/>
        <v>8014</v>
      </c>
    </row>
    <row r="87" spans="2:8" s="338" customFormat="1" ht="21" customHeight="1">
      <c r="B87" s="1031">
        <v>1</v>
      </c>
      <c r="C87" s="264" t="s">
        <v>1269</v>
      </c>
      <c r="D87" s="532" t="s">
        <v>1889</v>
      </c>
      <c r="E87" s="264" t="s">
        <v>1766</v>
      </c>
      <c r="F87" s="1989" t="s">
        <v>1064</v>
      </c>
      <c r="G87" s="1033">
        <f>'2.2 г.орг'!P8</f>
        <v>48854</v>
      </c>
      <c r="H87" s="1517">
        <f aca="true" t="shared" si="3" ref="H87:H144">G87</f>
        <v>48854</v>
      </c>
    </row>
    <row r="88" spans="2:8" s="338" customFormat="1" ht="17.25" customHeight="1">
      <c r="B88" s="1031">
        <v>21</v>
      </c>
      <c r="C88" s="245" t="str">
        <f>'2.2 г.орг'!B16</f>
        <v>Шашки. Классификационный турнир</v>
      </c>
      <c r="D88" s="532" t="s">
        <v>1634</v>
      </c>
      <c r="E88" s="245" t="s">
        <v>541</v>
      </c>
      <c r="F88" s="1990"/>
      <c r="G88" s="1033">
        <f>'2.2 г.орг'!P16</f>
        <v>203</v>
      </c>
      <c r="H88" s="1517">
        <f t="shared" si="3"/>
        <v>203</v>
      </c>
    </row>
    <row r="89" spans="2:8" s="338" customFormat="1" ht="18" customHeight="1">
      <c r="B89" s="1031">
        <v>2</v>
      </c>
      <c r="C89" s="264" t="s">
        <v>1547</v>
      </c>
      <c r="D89" s="532" t="s">
        <v>1889</v>
      </c>
      <c r="E89" s="245" t="s">
        <v>541</v>
      </c>
      <c r="F89" s="1990"/>
      <c r="G89" s="1032">
        <f>'2.2 г.орг'!P17</f>
        <v>75417</v>
      </c>
      <c r="H89" s="1517">
        <f t="shared" si="3"/>
        <v>75417</v>
      </c>
    </row>
    <row r="90" spans="2:8" s="338" customFormat="1" ht="18" customHeight="1">
      <c r="B90" s="1031"/>
      <c r="C90" s="170" t="str">
        <f>'2.2 г.орг'!B19</f>
        <v>Хоккей .Первенство города</v>
      </c>
      <c r="D90" s="532"/>
      <c r="E90" s="245" t="s">
        <v>541</v>
      </c>
      <c r="F90" s="1991"/>
      <c r="G90" s="1033">
        <f>'2.2 г.орг'!P19</f>
        <v>88177</v>
      </c>
      <c r="H90" s="1517">
        <f t="shared" si="3"/>
        <v>88177</v>
      </c>
    </row>
    <row r="91" spans="2:8" s="338" customFormat="1" ht="18.75" customHeight="1">
      <c r="B91" s="1036">
        <v>1</v>
      </c>
      <c r="C91" s="870" t="s">
        <v>636</v>
      </c>
      <c r="D91" s="532" t="s">
        <v>1889</v>
      </c>
      <c r="E91" s="1989" t="s">
        <v>299</v>
      </c>
      <c r="F91" s="2000" t="s">
        <v>1828</v>
      </c>
      <c r="G91" s="1037">
        <f>'2.2 г.орг'!P20</f>
        <v>1107</v>
      </c>
      <c r="H91" s="1517">
        <f t="shared" si="3"/>
        <v>1107</v>
      </c>
    </row>
    <row r="92" spans="2:8" s="338" customFormat="1" ht="18" customHeight="1">
      <c r="B92" s="1031"/>
      <c r="C92" s="170" t="str">
        <f>'2.2 г.орг'!B22</f>
        <v>Самусь хоккей встреча ветеранов</v>
      </c>
      <c r="D92" s="532"/>
      <c r="E92" s="1991"/>
      <c r="F92" s="2001"/>
      <c r="G92" s="1033">
        <f>'2.2 г.орг'!P22</f>
        <v>3268</v>
      </c>
      <c r="H92" s="1517">
        <f t="shared" si="3"/>
        <v>3268</v>
      </c>
    </row>
    <row r="93" spans="2:8" s="338" customFormat="1" ht="28.5" customHeight="1">
      <c r="B93" s="1031">
        <v>1</v>
      </c>
      <c r="C93" s="264" t="s">
        <v>329</v>
      </c>
      <c r="D93" s="532" t="s">
        <v>1889</v>
      </c>
      <c r="E93" s="1989" t="s">
        <v>300</v>
      </c>
      <c r="F93" s="2001"/>
      <c r="G93" s="1033">
        <f>'2.2 г.орг'!P23</f>
        <v>3963</v>
      </c>
      <c r="H93" s="1517">
        <f t="shared" si="3"/>
        <v>3963</v>
      </c>
    </row>
    <row r="94" spans="2:8" s="338" customFormat="1" ht="23.25" customHeight="1">
      <c r="B94" s="1031">
        <v>2</v>
      </c>
      <c r="C94" s="264" t="s">
        <v>1757</v>
      </c>
      <c r="D94" s="532" t="s">
        <v>1889</v>
      </c>
      <c r="E94" s="1991"/>
      <c r="F94" s="2002"/>
      <c r="G94" s="1033">
        <f>'2.2 г.орг'!P25</f>
        <v>1268</v>
      </c>
      <c r="H94" s="1517">
        <f t="shared" si="3"/>
        <v>1268</v>
      </c>
    </row>
    <row r="95" spans="2:8" s="338" customFormat="1" ht="17.25" customHeight="1">
      <c r="B95" s="1031">
        <v>5</v>
      </c>
      <c r="C95" s="245" t="s">
        <v>416</v>
      </c>
      <c r="D95" s="532" t="s">
        <v>1889</v>
      </c>
      <c r="E95" s="245" t="s">
        <v>541</v>
      </c>
      <c r="F95" s="532"/>
      <c r="G95" s="1032">
        <f>'2.2 г.орг'!P28</f>
        <v>12128</v>
      </c>
      <c r="H95" s="1517">
        <f t="shared" si="3"/>
        <v>12128</v>
      </c>
    </row>
    <row r="96" spans="2:8" s="338" customFormat="1" ht="27" customHeight="1">
      <c r="B96" s="1031">
        <v>2</v>
      </c>
      <c r="C96" s="264" t="s">
        <v>310</v>
      </c>
      <c r="D96" s="532" t="s">
        <v>1889</v>
      </c>
      <c r="E96" s="245" t="s">
        <v>541</v>
      </c>
      <c r="F96" s="407"/>
      <c r="G96" s="1033">
        <f>'2.2 г.орг'!P29</f>
        <v>44979</v>
      </c>
      <c r="H96" s="1517">
        <f t="shared" si="3"/>
        <v>44979</v>
      </c>
    </row>
    <row r="97" spans="2:8" s="338" customFormat="1" ht="18.75" customHeight="1">
      <c r="B97" s="1031">
        <v>2</v>
      </c>
      <c r="C97" s="264" t="s">
        <v>1464</v>
      </c>
      <c r="D97" s="532" t="s">
        <v>1889</v>
      </c>
      <c r="E97" s="1989" t="s">
        <v>299</v>
      </c>
      <c r="F97" s="1532"/>
      <c r="G97" s="1032">
        <f>'2.2 г.орг'!P35</f>
        <v>2588</v>
      </c>
      <c r="H97" s="1517">
        <f t="shared" si="3"/>
        <v>2588</v>
      </c>
    </row>
    <row r="98" spans="2:8" s="338" customFormat="1" ht="18.75" customHeight="1">
      <c r="B98" s="1031"/>
      <c r="C98" s="264" t="str">
        <f>'2.2 г.орг'!B39</f>
        <v>Спарт.руков.работ. СХК. город</v>
      </c>
      <c r="D98" s="532"/>
      <c r="E98" s="1991"/>
      <c r="F98" s="1532"/>
      <c r="G98" s="1033">
        <f>'2.2 г.орг'!P39</f>
        <v>11000</v>
      </c>
      <c r="H98" s="1517">
        <f t="shared" si="3"/>
        <v>11000</v>
      </c>
    </row>
    <row r="99" spans="2:8" s="338" customFormat="1" ht="19.5" customHeight="1">
      <c r="B99" s="1036">
        <v>3</v>
      </c>
      <c r="C99" s="264" t="s">
        <v>637</v>
      </c>
      <c r="D99" s="532" t="s">
        <v>1889</v>
      </c>
      <c r="E99" s="245" t="s">
        <v>541</v>
      </c>
      <c r="F99" s="1989" t="s">
        <v>1064</v>
      </c>
      <c r="G99" s="1032">
        <f>'2.2 г.орг'!P41</f>
        <v>15531</v>
      </c>
      <c r="H99" s="1517">
        <f t="shared" si="3"/>
        <v>15531</v>
      </c>
    </row>
    <row r="100" spans="2:8" s="338" customFormat="1" ht="22.5" customHeight="1">
      <c r="B100" s="1031">
        <v>11</v>
      </c>
      <c r="C100" s="264" t="s">
        <v>750</v>
      </c>
      <c r="D100" s="532" t="s">
        <v>1889</v>
      </c>
      <c r="E100" s="245" t="s">
        <v>541</v>
      </c>
      <c r="F100" s="1990"/>
      <c r="G100" s="1032">
        <f>'2.2 г.орг'!P42</f>
        <v>3148</v>
      </c>
      <c r="H100" s="1517">
        <f t="shared" si="3"/>
        <v>3148</v>
      </c>
    </row>
    <row r="101" spans="2:8" s="338" customFormat="1" ht="19.5" customHeight="1">
      <c r="B101" s="1031">
        <v>4</v>
      </c>
      <c r="C101" s="264" t="s">
        <v>638</v>
      </c>
      <c r="D101" s="532" t="s">
        <v>1889</v>
      </c>
      <c r="E101" s="245" t="s">
        <v>541</v>
      </c>
      <c r="F101" s="1990"/>
      <c r="G101" s="1032">
        <f>'2.2 г.орг'!P43</f>
        <v>2289</v>
      </c>
      <c r="H101" s="1517">
        <f t="shared" si="3"/>
        <v>2289</v>
      </c>
    </row>
    <row r="102" spans="2:8" s="338" customFormat="1" ht="36">
      <c r="B102" s="1031">
        <v>3</v>
      </c>
      <c r="C102" s="264" t="s">
        <v>1366</v>
      </c>
      <c r="D102" s="532" t="s">
        <v>1889</v>
      </c>
      <c r="E102" s="245" t="s">
        <v>541</v>
      </c>
      <c r="F102" s="1990"/>
      <c r="G102" s="1033">
        <f>'2.2 г.орг'!P44</f>
        <v>2250</v>
      </c>
      <c r="H102" s="1517">
        <f t="shared" si="3"/>
        <v>2250</v>
      </c>
    </row>
    <row r="103" spans="2:8" s="338" customFormat="1" ht="21" customHeight="1">
      <c r="B103" s="1031">
        <v>12</v>
      </c>
      <c r="C103" s="264" t="s">
        <v>751</v>
      </c>
      <c r="D103" s="532" t="s">
        <v>1889</v>
      </c>
      <c r="E103" s="245" t="s">
        <v>541</v>
      </c>
      <c r="F103" s="1991"/>
      <c r="G103" s="1032">
        <f>'2.2 г.орг'!P47</f>
        <v>14205</v>
      </c>
      <c r="H103" s="1517">
        <f t="shared" si="3"/>
        <v>14205</v>
      </c>
    </row>
    <row r="104" spans="2:8" s="338" customFormat="1" ht="33" customHeight="1">
      <c r="B104" s="1031">
        <v>4</v>
      </c>
      <c r="C104" s="264" t="s">
        <v>296</v>
      </c>
      <c r="D104" s="532" t="s">
        <v>1889</v>
      </c>
      <c r="E104" s="245" t="s">
        <v>295</v>
      </c>
      <c r="F104" s="407"/>
      <c r="G104" s="1033">
        <f>'2.2 г.орг'!P48</f>
        <v>9000</v>
      </c>
      <c r="H104" s="1517">
        <f t="shared" si="3"/>
        <v>9000</v>
      </c>
    </row>
    <row r="105" spans="2:8" s="338" customFormat="1" ht="19.5" customHeight="1">
      <c r="B105" s="1031">
        <v>5</v>
      </c>
      <c r="C105" s="264" t="s">
        <v>1271</v>
      </c>
      <c r="D105" s="532" t="s">
        <v>1889</v>
      </c>
      <c r="E105" s="245" t="s">
        <v>272</v>
      </c>
      <c r="F105" s="407"/>
      <c r="G105" s="1033">
        <f>'2.2 г.орг'!P49</f>
        <v>2250</v>
      </c>
      <c r="H105" s="1517">
        <f t="shared" si="3"/>
        <v>2250</v>
      </c>
    </row>
    <row r="106" spans="2:8" s="338" customFormat="1" ht="17.25" customHeight="1">
      <c r="B106" s="1031">
        <v>6</v>
      </c>
      <c r="C106" s="264" t="s">
        <v>1272</v>
      </c>
      <c r="D106" s="532" t="s">
        <v>1889</v>
      </c>
      <c r="E106" s="264" t="s">
        <v>1766</v>
      </c>
      <c r="F106" s="1989" t="s">
        <v>718</v>
      </c>
      <c r="G106" s="1033">
        <f>'2.2 г.орг'!P50</f>
        <v>25678</v>
      </c>
      <c r="H106" s="1517">
        <f t="shared" si="3"/>
        <v>25678</v>
      </c>
    </row>
    <row r="107" spans="2:8" s="338" customFormat="1" ht="15" customHeight="1">
      <c r="B107" s="1036">
        <v>5</v>
      </c>
      <c r="C107" s="245" t="s">
        <v>1051</v>
      </c>
      <c r="D107" s="532" t="s">
        <v>1889</v>
      </c>
      <c r="E107" s="997" t="s">
        <v>163</v>
      </c>
      <c r="F107" s="1990"/>
      <c r="G107" s="1032">
        <f>'2.2 г.орг'!P56</f>
        <v>25062</v>
      </c>
      <c r="H107" s="1517">
        <f t="shared" si="3"/>
        <v>25062</v>
      </c>
    </row>
    <row r="108" spans="2:8" s="338" customFormat="1" ht="15" customHeight="1">
      <c r="B108" s="1036">
        <v>6</v>
      </c>
      <c r="C108" s="264" t="s">
        <v>514</v>
      </c>
      <c r="D108" s="532" t="s">
        <v>1889</v>
      </c>
      <c r="E108" s="997" t="s">
        <v>163</v>
      </c>
      <c r="F108" s="1990"/>
      <c r="G108" s="1032">
        <f>'2.2 г.орг'!P57</f>
        <v>2330</v>
      </c>
      <c r="H108" s="1517">
        <f t="shared" si="3"/>
        <v>2330</v>
      </c>
    </row>
    <row r="109" spans="2:8" s="338" customFormat="1" ht="16.5" customHeight="1">
      <c r="B109" s="1031">
        <v>3</v>
      </c>
      <c r="C109" s="264" t="s">
        <v>1879</v>
      </c>
      <c r="D109" s="532" t="s">
        <v>1889</v>
      </c>
      <c r="E109" s="238"/>
      <c r="F109" s="1990"/>
      <c r="G109" s="1033">
        <f>'2.2 г.орг'!P59</f>
        <v>2168</v>
      </c>
      <c r="H109" s="1517">
        <f t="shared" si="3"/>
        <v>2168</v>
      </c>
    </row>
    <row r="110" spans="2:8" s="338" customFormat="1" ht="17.25" customHeight="1">
      <c r="B110" s="1031">
        <v>4</v>
      </c>
      <c r="C110" s="264" t="s">
        <v>738</v>
      </c>
      <c r="D110" s="532" t="s">
        <v>1889</v>
      </c>
      <c r="E110" s="407" t="s">
        <v>163</v>
      </c>
      <c r="F110" s="1990"/>
      <c r="G110" s="1033">
        <f>'2.2 г.орг'!P60</f>
        <v>3141</v>
      </c>
      <c r="H110" s="1517">
        <f t="shared" si="3"/>
        <v>3141</v>
      </c>
    </row>
    <row r="111" spans="2:8" s="338" customFormat="1" ht="18.75" customHeight="1">
      <c r="B111" s="1031">
        <v>7</v>
      </c>
      <c r="C111" s="264" t="s">
        <v>271</v>
      </c>
      <c r="D111" s="532" t="s">
        <v>1889</v>
      </c>
      <c r="E111" s="245" t="s">
        <v>541</v>
      </c>
      <c r="F111" s="1991"/>
      <c r="G111" s="1033">
        <f>'2.2 г.орг'!P62</f>
        <v>2700</v>
      </c>
      <c r="H111" s="1517">
        <f t="shared" si="3"/>
        <v>2700</v>
      </c>
    </row>
    <row r="112" spans="2:8" s="338" customFormat="1" ht="25.5" customHeight="1">
      <c r="B112" s="1031">
        <v>10</v>
      </c>
      <c r="C112" s="264" t="s">
        <v>1463</v>
      </c>
      <c r="D112" s="532" t="s">
        <v>1634</v>
      </c>
      <c r="E112" s="245" t="s">
        <v>1503</v>
      </c>
      <c r="F112" s="407"/>
      <c r="G112" s="1033">
        <f>'2.2 г.орг'!P68</f>
        <v>10394</v>
      </c>
      <c r="H112" s="1517">
        <f t="shared" si="3"/>
        <v>10394</v>
      </c>
    </row>
    <row r="113" spans="2:8" s="338" customFormat="1" ht="23.25" customHeight="1">
      <c r="B113" s="1031">
        <v>15</v>
      </c>
      <c r="C113" s="264" t="s">
        <v>1756</v>
      </c>
      <c r="D113" s="532" t="s">
        <v>1634</v>
      </c>
      <c r="E113" s="245" t="s">
        <v>1787</v>
      </c>
      <c r="F113" s="407"/>
      <c r="G113" s="1032">
        <f>'2.2 г.орг'!P69</f>
        <v>21602</v>
      </c>
      <c r="H113" s="1517">
        <f t="shared" si="3"/>
        <v>21602</v>
      </c>
    </row>
    <row r="114" spans="2:8" s="338" customFormat="1" ht="33.75" customHeight="1">
      <c r="B114" s="1031">
        <v>8</v>
      </c>
      <c r="C114" s="264" t="s">
        <v>1154</v>
      </c>
      <c r="D114" s="532" t="s">
        <v>1634</v>
      </c>
      <c r="E114" s="245" t="s">
        <v>1155</v>
      </c>
      <c r="F114" s="238"/>
      <c r="G114" s="1033">
        <f>'2.2 г.орг'!P71</f>
        <v>8255</v>
      </c>
      <c r="H114" s="1517">
        <f t="shared" si="3"/>
        <v>8255</v>
      </c>
    </row>
    <row r="115" spans="2:8" s="338" customFormat="1" ht="18" customHeight="1">
      <c r="B115" s="1031">
        <v>17</v>
      </c>
      <c r="C115" s="264" t="s">
        <v>795</v>
      </c>
      <c r="D115" s="532" t="s">
        <v>1634</v>
      </c>
      <c r="E115" s="245" t="s">
        <v>541</v>
      </c>
      <c r="F115" s="407"/>
      <c r="G115" s="1032">
        <f>'2.2 г.орг'!P76</f>
        <v>4616</v>
      </c>
      <c r="H115" s="1517">
        <f t="shared" si="3"/>
        <v>4616</v>
      </c>
    </row>
    <row r="116" spans="2:8" s="338" customFormat="1" ht="18" customHeight="1">
      <c r="B116" s="1031">
        <v>18</v>
      </c>
      <c r="C116" s="245" t="s">
        <v>916</v>
      </c>
      <c r="D116" s="532" t="s">
        <v>1634</v>
      </c>
      <c r="E116" s="245" t="s">
        <v>541</v>
      </c>
      <c r="F116" s="407"/>
      <c r="G116" s="1032">
        <f>'2.2 г.орг'!P77</f>
        <v>58129</v>
      </c>
      <c r="H116" s="1517">
        <f t="shared" si="3"/>
        <v>58129</v>
      </c>
    </row>
    <row r="117" spans="2:8" s="338" customFormat="1" ht="18" customHeight="1">
      <c r="B117" s="1031">
        <v>22</v>
      </c>
      <c r="C117" s="264" t="s">
        <v>5</v>
      </c>
      <c r="D117" s="532" t="s">
        <v>1634</v>
      </c>
      <c r="E117" s="245" t="s">
        <v>541</v>
      </c>
      <c r="F117" s="407"/>
      <c r="G117" s="1032">
        <f>'2.2 г.орг'!P78</f>
        <v>8125</v>
      </c>
      <c r="H117" s="1517">
        <f t="shared" si="3"/>
        <v>8125</v>
      </c>
    </row>
    <row r="118" spans="2:8" s="338" customFormat="1" ht="26.25" customHeight="1">
      <c r="B118" s="1031">
        <v>20</v>
      </c>
      <c r="C118" s="264" t="s">
        <v>563</v>
      </c>
      <c r="D118" s="532" t="s">
        <v>1634</v>
      </c>
      <c r="E118" s="245" t="s">
        <v>541</v>
      </c>
      <c r="F118" s="407"/>
      <c r="G118" s="1032">
        <f>'2.2 г.орг'!P79</f>
        <v>2000</v>
      </c>
      <c r="H118" s="1517">
        <f t="shared" si="3"/>
        <v>2000</v>
      </c>
    </row>
    <row r="119" spans="2:8" s="338" customFormat="1" ht="19.5" customHeight="1">
      <c r="B119" s="1031">
        <v>7</v>
      </c>
      <c r="C119" s="264" t="s">
        <v>176</v>
      </c>
      <c r="D119" s="532" t="s">
        <v>1634</v>
      </c>
      <c r="E119" s="1989" t="s">
        <v>299</v>
      </c>
      <c r="F119" s="1044"/>
      <c r="G119" s="1032">
        <f>'2.2 г.орг'!P80</f>
        <v>1119</v>
      </c>
      <c r="H119" s="1517">
        <f t="shared" si="3"/>
        <v>1119</v>
      </c>
    </row>
    <row r="120" spans="2:8" s="338" customFormat="1" ht="19.5" customHeight="1">
      <c r="B120" s="1036">
        <v>8</v>
      </c>
      <c r="C120" s="264" t="s">
        <v>1853</v>
      </c>
      <c r="D120" s="532" t="s">
        <v>1634</v>
      </c>
      <c r="E120" s="1990"/>
      <c r="F120" s="1044"/>
      <c r="G120" s="1032">
        <f>'2.2 г.орг'!P81</f>
        <v>920</v>
      </c>
      <c r="H120" s="1517">
        <f t="shared" si="3"/>
        <v>920</v>
      </c>
    </row>
    <row r="121" spans="2:8" s="338" customFormat="1" ht="23.25" customHeight="1">
      <c r="B121" s="1031">
        <v>5</v>
      </c>
      <c r="C121" s="264" t="s">
        <v>1830</v>
      </c>
      <c r="D121" s="532" t="s">
        <v>1634</v>
      </c>
      <c r="E121" s="1991"/>
      <c r="F121" s="997"/>
      <c r="G121" s="1040">
        <f>'2.2 г.орг'!P82</f>
        <v>2468</v>
      </c>
      <c r="H121" s="1517">
        <f t="shared" si="3"/>
        <v>2468</v>
      </c>
    </row>
    <row r="122" spans="2:8" s="338" customFormat="1" ht="17.25" customHeight="1">
      <c r="B122" s="1031">
        <v>6</v>
      </c>
      <c r="C122" s="245" t="s">
        <v>1832</v>
      </c>
      <c r="D122" s="532" t="s">
        <v>1634</v>
      </c>
      <c r="E122" s="252" t="s">
        <v>300</v>
      </c>
      <c r="F122" s="245"/>
      <c r="G122" s="1033">
        <f>'2.2 г.орг'!P83</f>
        <v>1084</v>
      </c>
      <c r="H122" s="1517">
        <f t="shared" si="3"/>
        <v>1084</v>
      </c>
    </row>
    <row r="123" spans="2:8" s="338" customFormat="1" ht="24">
      <c r="B123" s="1031">
        <v>9</v>
      </c>
      <c r="C123" s="264" t="s">
        <v>1050</v>
      </c>
      <c r="D123" s="532" t="s">
        <v>1634</v>
      </c>
      <c r="E123" s="245" t="s">
        <v>631</v>
      </c>
      <c r="F123" s="407"/>
      <c r="G123" s="1033">
        <f>'2.2 г.орг'!P86</f>
        <v>14399</v>
      </c>
      <c r="H123" s="1517">
        <f t="shared" si="3"/>
        <v>14399</v>
      </c>
    </row>
    <row r="124" spans="2:8" s="338" customFormat="1" ht="25.5" customHeight="1">
      <c r="B124" s="1031">
        <v>11</v>
      </c>
      <c r="C124" s="264" t="s">
        <v>537</v>
      </c>
      <c r="D124" s="532" t="s">
        <v>1634</v>
      </c>
      <c r="E124" s="245" t="s">
        <v>541</v>
      </c>
      <c r="F124" s="407"/>
      <c r="G124" s="1033">
        <f>'2.2 г.орг'!P90</f>
        <v>16210</v>
      </c>
      <c r="H124" s="1517">
        <f t="shared" si="3"/>
        <v>16210</v>
      </c>
    </row>
    <row r="125" spans="2:8" s="338" customFormat="1" ht="20.25" customHeight="1">
      <c r="B125" s="1031">
        <v>25</v>
      </c>
      <c r="C125" s="245" t="s">
        <v>1087</v>
      </c>
      <c r="D125" s="532" t="s">
        <v>1634</v>
      </c>
      <c r="E125" s="245" t="s">
        <v>541</v>
      </c>
      <c r="F125" s="407"/>
      <c r="G125" s="1032">
        <f>'2.2 г.орг'!P94</f>
        <v>10062</v>
      </c>
      <c r="H125" s="1517">
        <f t="shared" si="3"/>
        <v>10062</v>
      </c>
    </row>
    <row r="126" spans="2:8" s="338" customFormat="1" ht="18.75" customHeight="1">
      <c r="B126" s="1031">
        <v>26</v>
      </c>
      <c r="C126" s="264" t="s">
        <v>1325</v>
      </c>
      <c r="D126" s="532" t="s">
        <v>1634</v>
      </c>
      <c r="E126" s="245" t="s">
        <v>541</v>
      </c>
      <c r="F126" s="407"/>
      <c r="G126" s="1032">
        <f>'2.2 г.орг'!P95</f>
        <v>8790</v>
      </c>
      <c r="H126" s="1517">
        <f t="shared" si="3"/>
        <v>8790</v>
      </c>
    </row>
    <row r="127" spans="2:8" s="338" customFormat="1" ht="18" customHeight="1">
      <c r="B127" s="1031">
        <v>27</v>
      </c>
      <c r="C127" s="245" t="s">
        <v>23</v>
      </c>
      <c r="D127" s="532" t="s">
        <v>1634</v>
      </c>
      <c r="E127" s="245" t="s">
        <v>541</v>
      </c>
      <c r="F127" s="407"/>
      <c r="G127" s="1032">
        <f>'2.2 г.орг'!P96</f>
        <v>6000</v>
      </c>
      <c r="H127" s="1517">
        <f t="shared" si="3"/>
        <v>6000</v>
      </c>
    </row>
    <row r="128" spans="2:8" s="338" customFormat="1" ht="18.75" customHeight="1">
      <c r="B128" s="1031">
        <v>29</v>
      </c>
      <c r="C128" s="245" t="s">
        <v>796</v>
      </c>
      <c r="D128" s="532" t="s">
        <v>1634</v>
      </c>
      <c r="E128" s="245" t="s">
        <v>541</v>
      </c>
      <c r="F128" s="407"/>
      <c r="G128" s="1032">
        <f>'2.2 г.орг'!P97</f>
        <v>3159</v>
      </c>
      <c r="H128" s="1517">
        <f t="shared" si="3"/>
        <v>3159</v>
      </c>
    </row>
    <row r="129" spans="2:8" s="338" customFormat="1" ht="18.75" customHeight="1">
      <c r="B129" s="1031"/>
      <c r="C129" s="245" t="str">
        <f>'2.2 г.орг'!B98</f>
        <v>Шахматы.Матчевая встреча Ветераны</v>
      </c>
      <c r="D129" s="532"/>
      <c r="E129" s="245" t="s">
        <v>541</v>
      </c>
      <c r="F129" s="407"/>
      <c r="G129" s="1032">
        <f>'2.2 г.орг'!P98</f>
        <v>1681</v>
      </c>
      <c r="H129" s="1517">
        <f t="shared" si="3"/>
        <v>1681</v>
      </c>
    </row>
    <row r="130" spans="2:8" s="338" customFormat="1" ht="24" customHeight="1">
      <c r="B130" s="1036">
        <v>9</v>
      </c>
      <c r="C130" s="541" t="s">
        <v>1181</v>
      </c>
      <c r="D130" s="532" t="s">
        <v>1634</v>
      </c>
      <c r="E130" s="245" t="s">
        <v>541</v>
      </c>
      <c r="F130" s="245"/>
      <c r="G130" s="1032">
        <f>'2.2 г.орг'!P99</f>
        <v>644</v>
      </c>
      <c r="H130" s="1517">
        <f t="shared" si="3"/>
        <v>644</v>
      </c>
    </row>
    <row r="131" spans="2:8" s="338" customFormat="1" ht="25.5" customHeight="1">
      <c r="B131" s="1031">
        <v>12</v>
      </c>
      <c r="C131" s="264" t="str">
        <f>'2.2 г.орг'!B100</f>
        <v>Спорт.празд УГПС №8.."Средства масс.информации"</v>
      </c>
      <c r="D131" s="532" t="s">
        <v>1634</v>
      </c>
      <c r="E131" s="245" t="s">
        <v>541</v>
      </c>
      <c r="F131" s="531"/>
      <c r="G131" s="1033">
        <f>'2.2 г.орг'!P100</f>
        <v>3000</v>
      </c>
      <c r="H131" s="1517">
        <f t="shared" si="3"/>
        <v>3000</v>
      </c>
    </row>
    <row r="132" spans="2:8" s="338" customFormat="1" ht="25.5" customHeight="1">
      <c r="B132" s="1031"/>
      <c r="C132" s="264" t="str">
        <f>'2.2 г.орг'!B103</f>
        <v> День города 7 видов</v>
      </c>
      <c r="D132" s="532" t="s">
        <v>1634</v>
      </c>
      <c r="E132" s="245" t="s">
        <v>541</v>
      </c>
      <c r="F132" s="531"/>
      <c r="G132" s="1033">
        <f>'2.2 г.орг'!P103</f>
        <v>30472</v>
      </c>
      <c r="H132" s="1517">
        <f t="shared" si="3"/>
        <v>30472</v>
      </c>
    </row>
    <row r="133" spans="2:8" s="338" customFormat="1" ht="21" customHeight="1">
      <c r="B133" s="1031">
        <v>33</v>
      </c>
      <c r="C133" s="245" t="s">
        <v>709</v>
      </c>
      <c r="D133" s="532" t="s">
        <v>1634</v>
      </c>
      <c r="E133" s="542" t="s">
        <v>541</v>
      </c>
      <c r="F133" s="407"/>
      <c r="G133" s="1033">
        <f>'2.2 г.орг'!P111</f>
        <v>7000</v>
      </c>
      <c r="H133" s="1517">
        <f t="shared" si="3"/>
        <v>7000</v>
      </c>
    </row>
    <row r="134" spans="2:8" s="338" customFormat="1" ht="18.75" customHeight="1">
      <c r="B134" s="1031">
        <v>34</v>
      </c>
      <c r="C134" s="245" t="s">
        <v>24</v>
      </c>
      <c r="D134" s="532" t="s">
        <v>1634</v>
      </c>
      <c r="E134" s="245" t="s">
        <v>541</v>
      </c>
      <c r="F134" s="407"/>
      <c r="G134" s="1032">
        <f>'2.2 г.орг'!P112</f>
        <v>100638</v>
      </c>
      <c r="H134" s="1517">
        <f t="shared" si="3"/>
        <v>100638</v>
      </c>
    </row>
    <row r="135" spans="2:8" s="338" customFormat="1" ht="16.5" customHeight="1">
      <c r="B135" s="1031">
        <v>7</v>
      </c>
      <c r="C135" s="245" t="s">
        <v>1831</v>
      </c>
      <c r="D135" s="532" t="s">
        <v>1634</v>
      </c>
      <c r="E135" s="252" t="s">
        <v>300</v>
      </c>
      <c r="F135" s="407"/>
      <c r="G135" s="1033">
        <f>'2.2 г.орг'!P115</f>
        <v>3635</v>
      </c>
      <c r="H135" s="1517">
        <f t="shared" si="3"/>
        <v>3635</v>
      </c>
    </row>
    <row r="136" spans="2:8" s="338" customFormat="1" ht="19.5" customHeight="1">
      <c r="B136" s="1031">
        <v>3</v>
      </c>
      <c r="C136" s="264" t="s">
        <v>1129</v>
      </c>
      <c r="D136" s="532" t="s">
        <v>1635</v>
      </c>
      <c r="E136" s="245" t="s">
        <v>541</v>
      </c>
      <c r="F136" s="407"/>
      <c r="G136" s="1032">
        <f>'2.2 г.орг'!P118</f>
        <v>4250</v>
      </c>
      <c r="H136" s="1517">
        <f t="shared" si="3"/>
        <v>4250</v>
      </c>
    </row>
    <row r="137" spans="2:8" s="338" customFormat="1" ht="21.75" customHeight="1">
      <c r="B137" s="1031">
        <v>38</v>
      </c>
      <c r="C137" s="264" t="s">
        <v>885</v>
      </c>
      <c r="D137" s="532" t="s">
        <v>1635</v>
      </c>
      <c r="E137" s="245" t="s">
        <v>541</v>
      </c>
      <c r="F137" s="407"/>
      <c r="G137" s="1032">
        <f>'2.2 г.орг'!P120</f>
        <v>4174</v>
      </c>
      <c r="H137" s="1517">
        <f t="shared" si="3"/>
        <v>4174</v>
      </c>
    </row>
    <row r="138" spans="2:8" s="338" customFormat="1" ht="17.25" customHeight="1">
      <c r="B138" s="1031">
        <v>10</v>
      </c>
      <c r="C138" s="264" t="s">
        <v>1390</v>
      </c>
      <c r="D138" s="532" t="s">
        <v>1635</v>
      </c>
      <c r="E138" s="252" t="s">
        <v>299</v>
      </c>
      <c r="F138" s="1044"/>
      <c r="G138" s="1032">
        <f>'2.2 г.орг'!P121</f>
        <v>6953</v>
      </c>
      <c r="H138" s="1517">
        <f t="shared" si="3"/>
        <v>6953</v>
      </c>
    </row>
    <row r="139" spans="2:8" s="338" customFormat="1" ht="18.75" customHeight="1">
      <c r="B139" s="1031">
        <v>4</v>
      </c>
      <c r="C139" s="264" t="s">
        <v>1829</v>
      </c>
      <c r="D139" s="532" t="s">
        <v>1635</v>
      </c>
      <c r="E139" s="245" t="s">
        <v>541</v>
      </c>
      <c r="F139" s="407"/>
      <c r="G139" s="1032">
        <f>'2.2 г.орг'!P124</f>
        <v>23758</v>
      </c>
      <c r="H139" s="1517">
        <f t="shared" si="3"/>
        <v>23758</v>
      </c>
    </row>
    <row r="140" spans="2:8" s="338" customFormat="1" ht="24">
      <c r="B140" s="1031">
        <v>39</v>
      </c>
      <c r="C140" s="264" t="s">
        <v>1164</v>
      </c>
      <c r="D140" s="532" t="s">
        <v>1635</v>
      </c>
      <c r="E140" s="245" t="s">
        <v>541</v>
      </c>
      <c r="F140" s="407"/>
      <c r="G140" s="1032">
        <f>'2.2 г.орг'!P132</f>
        <v>2250</v>
      </c>
      <c r="H140" s="1517">
        <f t="shared" si="3"/>
        <v>2250</v>
      </c>
    </row>
    <row r="141" spans="2:8" s="338" customFormat="1" ht="16.5" customHeight="1">
      <c r="B141" s="1031">
        <v>40</v>
      </c>
      <c r="C141" s="264" t="s">
        <v>1714</v>
      </c>
      <c r="D141" s="532" t="s">
        <v>1635</v>
      </c>
      <c r="E141" s="245" t="s">
        <v>541</v>
      </c>
      <c r="F141" s="407"/>
      <c r="G141" s="1032">
        <f>'2.2 г.орг'!P133</f>
        <v>14894</v>
      </c>
      <c r="H141" s="1517">
        <f t="shared" si="3"/>
        <v>14894</v>
      </c>
    </row>
    <row r="142" spans="2:8" s="338" customFormat="1" ht="19.5" customHeight="1">
      <c r="B142" s="1036">
        <v>11</v>
      </c>
      <c r="C142" s="245" t="s">
        <v>1899</v>
      </c>
      <c r="D142" s="532" t="s">
        <v>1635</v>
      </c>
      <c r="E142" s="252" t="s">
        <v>299</v>
      </c>
      <c r="F142" s="1044"/>
      <c r="G142" s="1032">
        <f>'2.2 г.орг'!P134</f>
        <v>3033</v>
      </c>
      <c r="H142" s="1517">
        <f t="shared" si="3"/>
        <v>3033</v>
      </c>
    </row>
    <row r="143" spans="2:8" s="338" customFormat="1" ht="20.25" customHeight="1">
      <c r="B143" s="1031">
        <v>13</v>
      </c>
      <c r="C143" s="264" t="s">
        <v>173</v>
      </c>
      <c r="D143" s="532" t="s">
        <v>1635</v>
      </c>
      <c r="E143" s="245" t="s">
        <v>928</v>
      </c>
      <c r="F143" s="531"/>
      <c r="G143" s="1033">
        <f>'2.2 г.орг'!P136</f>
        <v>1200</v>
      </c>
      <c r="H143" s="1517">
        <f t="shared" si="3"/>
        <v>1200</v>
      </c>
    </row>
    <row r="144" spans="2:8" s="338" customFormat="1" ht="16.5" customHeight="1">
      <c r="B144" s="1031">
        <v>44</v>
      </c>
      <c r="C144" s="245" t="s">
        <v>25</v>
      </c>
      <c r="D144" s="532" t="s">
        <v>1635</v>
      </c>
      <c r="E144" s="245" t="s">
        <v>541</v>
      </c>
      <c r="F144" s="407"/>
      <c r="G144" s="1032">
        <f>'2.2 г.орг'!P139</f>
        <v>9595</v>
      </c>
      <c r="H144" s="1517">
        <f t="shared" si="3"/>
        <v>9595</v>
      </c>
    </row>
    <row r="145" spans="2:8" s="338" customFormat="1" ht="21.75" customHeight="1">
      <c r="B145" s="1031">
        <v>8</v>
      </c>
      <c r="C145" s="264" t="s">
        <v>55</v>
      </c>
      <c r="D145" s="532" t="s">
        <v>1635</v>
      </c>
      <c r="E145" s="252" t="s">
        <v>300</v>
      </c>
      <c r="F145" s="407"/>
      <c r="G145" s="1033">
        <f>'2.2 г.орг'!P141</f>
        <v>2657</v>
      </c>
      <c r="H145" s="1517">
        <f aca="true" t="shared" si="4" ref="H145:H155">G145</f>
        <v>2657</v>
      </c>
    </row>
    <row r="146" spans="2:8" s="338" customFormat="1" ht="18" customHeight="1">
      <c r="B146" s="1031">
        <v>46</v>
      </c>
      <c r="C146" s="245" t="s">
        <v>1544</v>
      </c>
      <c r="D146" s="532" t="s">
        <v>1636</v>
      </c>
      <c r="E146" s="245" t="s">
        <v>541</v>
      </c>
      <c r="F146" s="407"/>
      <c r="G146" s="1032">
        <f>'2.2 г.орг'!P144</f>
        <v>14080</v>
      </c>
      <c r="H146" s="1517">
        <f t="shared" si="4"/>
        <v>14080</v>
      </c>
    </row>
    <row r="147" spans="2:8" s="338" customFormat="1" ht="20.25" customHeight="1">
      <c r="B147" s="1031">
        <v>47</v>
      </c>
      <c r="C147" s="245" t="s">
        <v>1545</v>
      </c>
      <c r="D147" s="532" t="s">
        <v>1636</v>
      </c>
      <c r="E147" s="245" t="s">
        <v>541</v>
      </c>
      <c r="F147" s="407"/>
      <c r="G147" s="1032">
        <f>'2.2 г.орг'!P145</f>
        <v>23904</v>
      </c>
      <c r="H147" s="1517">
        <f t="shared" si="4"/>
        <v>23904</v>
      </c>
    </row>
    <row r="148" spans="2:8" s="338" customFormat="1" ht="19.5" customHeight="1">
      <c r="B148" s="1031">
        <v>48</v>
      </c>
      <c r="C148" s="264" t="s">
        <v>1305</v>
      </c>
      <c r="D148" s="532" t="s">
        <v>1636</v>
      </c>
      <c r="E148" s="245" t="s">
        <v>541</v>
      </c>
      <c r="F148" s="407"/>
      <c r="G148" s="1032">
        <f>'2.2 г.орг'!P146</f>
        <v>24352</v>
      </c>
      <c r="H148" s="1517">
        <f t="shared" si="4"/>
        <v>24352</v>
      </c>
    </row>
    <row r="149" spans="2:8" s="338" customFormat="1" ht="24">
      <c r="B149" s="1031">
        <v>14</v>
      </c>
      <c r="C149" s="264" t="s">
        <v>1865</v>
      </c>
      <c r="D149" s="532" t="s">
        <v>1636</v>
      </c>
      <c r="E149" s="236"/>
      <c r="F149" s="407"/>
      <c r="G149" s="1033">
        <f>'2.2 г.орг'!P147</f>
        <v>7200</v>
      </c>
      <c r="H149" s="1517">
        <f t="shared" si="4"/>
        <v>7200</v>
      </c>
    </row>
    <row r="150" spans="2:8" s="338" customFormat="1" ht="18" customHeight="1">
      <c r="B150" s="1031">
        <v>49</v>
      </c>
      <c r="C150" s="245" t="s">
        <v>1527</v>
      </c>
      <c r="D150" s="532" t="s">
        <v>1636</v>
      </c>
      <c r="E150" s="245" t="s">
        <v>541</v>
      </c>
      <c r="F150" s="407"/>
      <c r="G150" s="1032">
        <f>'2.2 г.орг'!P149</f>
        <v>13152</v>
      </c>
      <c r="H150" s="1517">
        <f t="shared" si="4"/>
        <v>13152</v>
      </c>
    </row>
    <row r="151" spans="2:8" s="338" customFormat="1" ht="17.25" customHeight="1">
      <c r="B151" s="1031">
        <v>50</v>
      </c>
      <c r="C151" s="264" t="s">
        <v>1232</v>
      </c>
      <c r="D151" s="532" t="s">
        <v>1636</v>
      </c>
      <c r="E151" s="245" t="s">
        <v>1787</v>
      </c>
      <c r="F151" s="407"/>
      <c r="G151" s="1032">
        <f>'2.2 г.орг'!P150</f>
        <v>25009</v>
      </c>
      <c r="H151" s="1517">
        <f t="shared" si="4"/>
        <v>25009</v>
      </c>
    </row>
    <row r="152" spans="2:8" s="338" customFormat="1" ht="17.25" customHeight="1">
      <c r="B152" s="1031">
        <v>51</v>
      </c>
      <c r="C152" s="264" t="s">
        <v>1528</v>
      </c>
      <c r="D152" s="532" t="s">
        <v>1636</v>
      </c>
      <c r="E152" s="245" t="s">
        <v>1787</v>
      </c>
      <c r="F152" s="407"/>
      <c r="G152" s="1032">
        <f>'2.2 г.орг'!P151</f>
        <v>15526</v>
      </c>
      <c r="H152" s="1517">
        <f t="shared" si="4"/>
        <v>15526</v>
      </c>
    </row>
    <row r="153" spans="2:8" s="338" customFormat="1" ht="17.25" customHeight="1">
      <c r="B153" s="1031">
        <v>52</v>
      </c>
      <c r="C153" s="245" t="s">
        <v>278</v>
      </c>
      <c r="D153" s="532" t="s">
        <v>1636</v>
      </c>
      <c r="E153" s="245" t="s">
        <v>541</v>
      </c>
      <c r="F153" s="407"/>
      <c r="G153" s="1032">
        <f>'2.2 г.орг'!P152</f>
        <v>10184</v>
      </c>
      <c r="H153" s="1517">
        <f t="shared" si="4"/>
        <v>10184</v>
      </c>
    </row>
    <row r="154" spans="2:8" s="338" customFormat="1" ht="17.25" customHeight="1">
      <c r="B154" s="1031">
        <v>53</v>
      </c>
      <c r="C154" s="245" t="s">
        <v>380</v>
      </c>
      <c r="D154" s="532" t="s">
        <v>1636</v>
      </c>
      <c r="E154" s="245" t="s">
        <v>1322</v>
      </c>
      <c r="F154" s="407"/>
      <c r="G154" s="1032">
        <f>'2.2 г.орг'!P153</f>
        <v>3602</v>
      </c>
      <c r="H154" s="1517">
        <f t="shared" si="4"/>
        <v>3602</v>
      </c>
    </row>
    <row r="155" spans="2:8" s="338" customFormat="1" ht="18.75" customHeight="1">
      <c r="B155" s="1031">
        <v>5</v>
      </c>
      <c r="C155" s="264" t="s">
        <v>879</v>
      </c>
      <c r="D155" s="532" t="s">
        <v>1636</v>
      </c>
      <c r="E155" s="245" t="s">
        <v>541</v>
      </c>
      <c r="F155" s="407"/>
      <c r="G155" s="1032">
        <f>'2.2 г.орг'!P155</f>
        <v>3600</v>
      </c>
      <c r="H155" s="1517">
        <f t="shared" si="4"/>
        <v>3600</v>
      </c>
    </row>
    <row r="156" spans="2:8" s="338" customFormat="1" ht="20.25" customHeight="1">
      <c r="B156" s="1031">
        <v>6</v>
      </c>
      <c r="C156" s="264" t="s">
        <v>305</v>
      </c>
      <c r="D156" s="532" t="s">
        <v>1636</v>
      </c>
      <c r="E156" s="245" t="s">
        <v>541</v>
      </c>
      <c r="F156" s="407"/>
      <c r="G156" s="1032">
        <f>'2.2 г.орг'!P156</f>
        <v>21231</v>
      </c>
      <c r="H156" s="1517">
        <f>G156</f>
        <v>21231</v>
      </c>
    </row>
    <row r="157" spans="2:8" s="338" customFormat="1" ht="20.25" customHeight="1">
      <c r="B157" s="1031">
        <v>54</v>
      </c>
      <c r="C157" s="264" t="s">
        <v>1127</v>
      </c>
      <c r="D157" s="532" t="s">
        <v>1636</v>
      </c>
      <c r="E157" s="245" t="s">
        <v>541</v>
      </c>
      <c r="F157" s="407"/>
      <c r="G157" s="1032">
        <f>'2.2 г.орг'!P158</f>
        <v>3000</v>
      </c>
      <c r="H157" s="1517">
        <f>G157</f>
        <v>3000</v>
      </c>
    </row>
    <row r="158" spans="2:8" s="338" customFormat="1" ht="17.25" customHeight="1">
      <c r="B158" s="1031">
        <v>56</v>
      </c>
      <c r="C158" s="245" t="s">
        <v>1792</v>
      </c>
      <c r="D158" s="532" t="s">
        <v>1636</v>
      </c>
      <c r="E158" s="245" t="s">
        <v>541</v>
      </c>
      <c r="F158" s="407"/>
      <c r="G158" s="1032">
        <f>'2.2 г.орг'!P159</f>
        <v>20202</v>
      </c>
      <c r="H158" s="1517">
        <f aca="true" t="shared" si="5" ref="H158:H168">G158</f>
        <v>20202</v>
      </c>
    </row>
    <row r="159" spans="2:8" s="338" customFormat="1" ht="19.5" customHeight="1">
      <c r="B159" s="1036">
        <v>12</v>
      </c>
      <c r="C159" s="245" t="s">
        <v>1181</v>
      </c>
      <c r="D159" s="532" t="s">
        <v>1636</v>
      </c>
      <c r="E159" s="1989" t="s">
        <v>299</v>
      </c>
      <c r="F159" s="1044"/>
      <c r="G159" s="1032">
        <f>'2.2 г.орг'!P160</f>
        <v>1411</v>
      </c>
      <c r="H159" s="1517">
        <f t="shared" si="5"/>
        <v>1411</v>
      </c>
    </row>
    <row r="160" spans="2:8" s="338" customFormat="1" ht="19.5" customHeight="1">
      <c r="B160" s="1031">
        <v>13</v>
      </c>
      <c r="C160" s="245" t="s">
        <v>535</v>
      </c>
      <c r="D160" s="532" t="s">
        <v>1636</v>
      </c>
      <c r="E160" s="1991"/>
      <c r="F160" s="245"/>
      <c r="G160" s="1032">
        <f>'2.2 г.орг'!P162</f>
        <v>2839</v>
      </c>
      <c r="H160" s="1517">
        <f t="shared" si="5"/>
        <v>2839</v>
      </c>
    </row>
    <row r="161" spans="2:8" s="338" customFormat="1" ht="18" customHeight="1">
      <c r="B161" s="1036">
        <v>14</v>
      </c>
      <c r="C161" s="245" t="s">
        <v>1852</v>
      </c>
      <c r="D161" s="532" t="s">
        <v>1636</v>
      </c>
      <c r="E161" s="407" t="s">
        <v>163</v>
      </c>
      <c r="F161" s="407"/>
      <c r="G161" s="1033">
        <f>'2.2 г.орг'!P163</f>
        <v>1890</v>
      </c>
      <c r="H161" s="1517">
        <f t="shared" si="5"/>
        <v>1890</v>
      </c>
    </row>
    <row r="162" spans="2:8" s="338" customFormat="1" ht="19.5" customHeight="1">
      <c r="B162" s="1036">
        <v>15</v>
      </c>
      <c r="C162" s="245" t="s">
        <v>1862</v>
      </c>
      <c r="D162" s="532" t="s">
        <v>1636</v>
      </c>
      <c r="E162" s="407" t="s">
        <v>163</v>
      </c>
      <c r="F162" s="407"/>
      <c r="G162" s="1033">
        <f>'2.2 г.орг'!P164</f>
        <v>2781</v>
      </c>
      <c r="H162" s="1517">
        <f t="shared" si="5"/>
        <v>2781</v>
      </c>
    </row>
    <row r="163" spans="2:8" s="338" customFormat="1" ht="17.25" customHeight="1">
      <c r="B163" s="1031">
        <v>9</v>
      </c>
      <c r="C163" s="264" t="s">
        <v>739</v>
      </c>
      <c r="D163" s="532" t="s">
        <v>1636</v>
      </c>
      <c r="E163" s="252" t="s">
        <v>300</v>
      </c>
      <c r="F163" s="407"/>
      <c r="G163" s="1033">
        <f>'2.2 г.орг'!P165</f>
        <v>3252</v>
      </c>
      <c r="H163" s="1517">
        <f t="shared" si="5"/>
        <v>3252</v>
      </c>
    </row>
    <row r="164" spans="2:8" s="338" customFormat="1" ht="17.25" customHeight="1">
      <c r="B164" s="1031">
        <v>15</v>
      </c>
      <c r="C164" s="264" t="s">
        <v>1743</v>
      </c>
      <c r="D164" s="532" t="s">
        <v>1636</v>
      </c>
      <c r="E164" s="245" t="s">
        <v>541</v>
      </c>
      <c r="F164" s="997"/>
      <c r="G164" s="1032">
        <f>'2.2 г.орг'!P166</f>
        <v>4500</v>
      </c>
      <c r="H164" s="1517">
        <f t="shared" si="5"/>
        <v>4500</v>
      </c>
    </row>
    <row r="165" spans="2:8" s="338" customFormat="1" ht="19.5" customHeight="1">
      <c r="B165" s="1031">
        <v>16</v>
      </c>
      <c r="C165" s="264" t="s">
        <v>1504</v>
      </c>
      <c r="D165" s="532" t="s">
        <v>1636</v>
      </c>
      <c r="E165" s="245" t="s">
        <v>541</v>
      </c>
      <c r="F165" s="1989" t="s">
        <v>1064</v>
      </c>
      <c r="G165" s="1032">
        <f>'2.2 г.орг'!P167</f>
        <v>15210</v>
      </c>
      <c r="H165" s="1517">
        <f t="shared" si="5"/>
        <v>15210</v>
      </c>
    </row>
    <row r="166" spans="2:8" s="338" customFormat="1" ht="27.75" customHeight="1">
      <c r="B166" s="1031">
        <v>17</v>
      </c>
      <c r="C166" s="264" t="s">
        <v>151</v>
      </c>
      <c r="D166" s="532" t="s">
        <v>1636</v>
      </c>
      <c r="E166" s="264" t="s">
        <v>842</v>
      </c>
      <c r="F166" s="1990"/>
      <c r="G166" s="1032">
        <f>'2.2 г.орг'!P172</f>
        <v>2250</v>
      </c>
      <c r="H166" s="1517">
        <f t="shared" si="5"/>
        <v>2250</v>
      </c>
    </row>
    <row r="167" spans="2:8" s="338" customFormat="1" ht="24">
      <c r="B167" s="1031">
        <v>18</v>
      </c>
      <c r="C167" s="264" t="s">
        <v>671</v>
      </c>
      <c r="D167" s="532" t="s">
        <v>1636</v>
      </c>
      <c r="E167" s="245" t="s">
        <v>928</v>
      </c>
      <c r="F167" s="1990"/>
      <c r="G167" s="1032">
        <f>'2.2 г.орг'!P173</f>
        <v>14108</v>
      </c>
      <c r="H167" s="1517">
        <f t="shared" si="5"/>
        <v>14108</v>
      </c>
    </row>
    <row r="168" spans="2:8" s="338" customFormat="1" ht="24">
      <c r="B168" s="1031">
        <v>19</v>
      </c>
      <c r="C168" s="264" t="s">
        <v>672</v>
      </c>
      <c r="D168" s="532" t="s">
        <v>1636</v>
      </c>
      <c r="E168" s="245" t="s">
        <v>541</v>
      </c>
      <c r="F168" s="1990"/>
      <c r="G168" s="1032">
        <f>'2.2 г.орг'!P177</f>
        <v>37401</v>
      </c>
      <c r="H168" s="1517">
        <f t="shared" si="5"/>
        <v>37401</v>
      </c>
    </row>
    <row r="169" spans="2:8" s="338" customFormat="1" ht="24">
      <c r="B169" s="1031">
        <v>22</v>
      </c>
      <c r="C169" s="264" t="s">
        <v>632</v>
      </c>
      <c r="D169" s="532" t="s">
        <v>1636</v>
      </c>
      <c r="E169" s="245" t="s">
        <v>1155</v>
      </c>
      <c r="F169" s="1991"/>
      <c r="G169" s="1032">
        <f>'2.2 г.орг'!P182</f>
        <v>32822</v>
      </c>
      <c r="H169" s="1517">
        <f aca="true" t="shared" si="6" ref="H169:H181">G169</f>
        <v>32822</v>
      </c>
    </row>
    <row r="170" spans="2:8" s="338" customFormat="1" ht="19.5" customHeight="1">
      <c r="B170" s="1031">
        <v>58</v>
      </c>
      <c r="C170" s="264" t="s">
        <v>1907</v>
      </c>
      <c r="D170" s="532" t="s">
        <v>1636</v>
      </c>
      <c r="E170" s="245" t="s">
        <v>541</v>
      </c>
      <c r="F170" s="407"/>
      <c r="G170" s="1032">
        <f>'2.2 г.орг'!P187</f>
        <v>15254</v>
      </c>
      <c r="H170" s="1517">
        <f t="shared" si="6"/>
        <v>15254</v>
      </c>
    </row>
    <row r="171" spans="2:8" s="338" customFormat="1" ht="21.75" customHeight="1">
      <c r="B171" s="1031">
        <v>23</v>
      </c>
      <c r="C171" s="238" t="s">
        <v>674</v>
      </c>
      <c r="D171" s="530" t="s">
        <v>1636</v>
      </c>
      <c r="E171" s="240" t="s">
        <v>541</v>
      </c>
      <c r="F171" s="407"/>
      <c r="G171" s="1046">
        <f>'2.2 г.орг'!P188</f>
        <v>2700</v>
      </c>
      <c r="H171" s="1517">
        <f t="shared" si="6"/>
        <v>2700</v>
      </c>
    </row>
    <row r="172" spans="2:8" s="338" customFormat="1" ht="18" customHeight="1">
      <c r="B172" s="1031">
        <v>59</v>
      </c>
      <c r="C172" s="264" t="s">
        <v>1851</v>
      </c>
      <c r="D172" s="532" t="s">
        <v>1636</v>
      </c>
      <c r="E172" s="245" t="s">
        <v>541</v>
      </c>
      <c r="F172" s="407"/>
      <c r="G172" s="1033">
        <f>'2.2 г.орг'!P189</f>
        <v>7584</v>
      </c>
      <c r="H172" s="1517">
        <f t="shared" si="6"/>
        <v>7584</v>
      </c>
    </row>
    <row r="173" spans="2:8" s="338" customFormat="1" ht="18" customHeight="1">
      <c r="B173" s="1031">
        <v>60</v>
      </c>
      <c r="C173" s="264" t="s">
        <v>1128</v>
      </c>
      <c r="D173" s="532" t="s">
        <v>1636</v>
      </c>
      <c r="E173" s="245" t="s">
        <v>541</v>
      </c>
      <c r="F173" s="407"/>
      <c r="G173" s="1032">
        <f>'2.2 г.орг'!P190</f>
        <v>5550</v>
      </c>
      <c r="H173" s="1517">
        <f t="shared" si="6"/>
        <v>5550</v>
      </c>
    </row>
    <row r="174" spans="2:8" s="338" customFormat="1" ht="26.25" customHeight="1">
      <c r="B174" s="1031">
        <v>20</v>
      </c>
      <c r="C174" s="264" t="s">
        <v>1642</v>
      </c>
      <c r="D174" s="532" t="s">
        <v>1636</v>
      </c>
      <c r="E174" s="245" t="s">
        <v>1430</v>
      </c>
      <c r="F174" s="407"/>
      <c r="G174" s="1032">
        <f>'2.2 г.орг'!P191</f>
        <v>2250</v>
      </c>
      <c r="H174" s="1517">
        <f t="shared" si="6"/>
        <v>2250</v>
      </c>
    </row>
    <row r="175" spans="2:8" s="338" customFormat="1" ht="18" customHeight="1">
      <c r="B175" s="1031">
        <v>10</v>
      </c>
      <c r="C175" s="245" t="s">
        <v>1230</v>
      </c>
      <c r="D175" s="532" t="s">
        <v>1889</v>
      </c>
      <c r="E175" s="245" t="s">
        <v>541</v>
      </c>
      <c r="F175" s="532"/>
      <c r="G175" s="1032">
        <f>'2.2 г.орг'!P192</f>
        <v>14587</v>
      </c>
      <c r="H175" s="1517">
        <f t="shared" si="6"/>
        <v>14587</v>
      </c>
    </row>
    <row r="176" spans="2:8" s="338" customFormat="1" ht="20.25" customHeight="1">
      <c r="B176" s="1031">
        <v>62</v>
      </c>
      <c r="C176" s="245" t="s">
        <v>1886</v>
      </c>
      <c r="D176" s="532" t="s">
        <v>1636</v>
      </c>
      <c r="E176" s="245" t="s">
        <v>541</v>
      </c>
      <c r="F176" s="407"/>
      <c r="G176" s="1032">
        <f>'2.2 г.орг'!P194</f>
        <v>518</v>
      </c>
      <c r="H176" s="1517">
        <f t="shared" si="6"/>
        <v>518</v>
      </c>
    </row>
    <row r="177" spans="2:8" s="338" customFormat="1" ht="26.25" customHeight="1">
      <c r="B177" s="1031">
        <v>21</v>
      </c>
      <c r="C177" s="252" t="s">
        <v>673</v>
      </c>
      <c r="D177" s="529" t="s">
        <v>1636</v>
      </c>
      <c r="E177" s="419" t="s">
        <v>541</v>
      </c>
      <c r="F177" s="997"/>
      <c r="G177" s="1038">
        <f>'2.2 г.орг'!P195</f>
        <v>12471</v>
      </c>
      <c r="H177" s="1517">
        <f t="shared" si="6"/>
        <v>12471</v>
      </c>
    </row>
    <row r="178" spans="2:8" s="338" customFormat="1" ht="17.25" customHeight="1">
      <c r="B178" s="1031">
        <v>16</v>
      </c>
      <c r="C178" s="245" t="s">
        <v>1900</v>
      </c>
      <c r="D178" s="532" t="s">
        <v>1636</v>
      </c>
      <c r="E178" s="1989" t="s">
        <v>299</v>
      </c>
      <c r="F178" s="407"/>
      <c r="G178" s="1033">
        <f>'2.2 г.орг'!P198</f>
        <v>1145</v>
      </c>
      <c r="H178" s="1517">
        <f t="shared" si="6"/>
        <v>1145</v>
      </c>
    </row>
    <row r="179" spans="2:8" s="338" customFormat="1" ht="21" customHeight="1">
      <c r="B179" s="1036">
        <v>17</v>
      </c>
      <c r="C179" s="245" t="s">
        <v>1853</v>
      </c>
      <c r="D179" s="532" t="s">
        <v>1636</v>
      </c>
      <c r="E179" s="1990"/>
      <c r="F179" s="407"/>
      <c r="G179" s="1033">
        <f>'2.2 г.орг'!P199</f>
        <v>924</v>
      </c>
      <c r="H179" s="1517">
        <f t="shared" si="6"/>
        <v>924</v>
      </c>
    </row>
    <row r="180" spans="2:8" s="338" customFormat="1" ht="19.5" customHeight="1">
      <c r="B180" s="1036">
        <v>18</v>
      </c>
      <c r="C180" s="245" t="s">
        <v>1648</v>
      </c>
      <c r="D180" s="532" t="s">
        <v>1636</v>
      </c>
      <c r="E180" s="1991"/>
      <c r="F180" s="407"/>
      <c r="G180" s="1032">
        <f>'2.2 г.орг'!P201</f>
        <v>2795</v>
      </c>
      <c r="H180" s="1517">
        <f t="shared" si="6"/>
        <v>2795</v>
      </c>
    </row>
    <row r="181" spans="2:8" s="338" customFormat="1" ht="30.75" customHeight="1">
      <c r="B181" s="1031">
        <v>24</v>
      </c>
      <c r="C181" s="264" t="s">
        <v>633</v>
      </c>
      <c r="D181" s="532" t="s">
        <v>1636</v>
      </c>
      <c r="E181" s="238" t="s">
        <v>298</v>
      </c>
      <c r="F181" s="407"/>
      <c r="G181" s="1032">
        <f>'2.2 г.орг'!P204</f>
        <v>34343</v>
      </c>
      <c r="H181" s="1517">
        <f t="shared" si="6"/>
        <v>34343</v>
      </c>
    </row>
    <row r="182" spans="2:8" s="338" customFormat="1" ht="19.5" customHeight="1">
      <c r="B182" s="1031">
        <v>67</v>
      </c>
      <c r="C182" s="245" t="s">
        <v>713</v>
      </c>
      <c r="D182" s="532" t="s">
        <v>1636</v>
      </c>
      <c r="E182" s="245" t="s">
        <v>541</v>
      </c>
      <c r="F182" s="407"/>
      <c r="G182" s="1032">
        <f>'2.2 г.орг'!P207</f>
        <v>7462</v>
      </c>
      <c r="H182" s="1517">
        <f aca="true" t="shared" si="7" ref="H182:H189">G182</f>
        <v>7462</v>
      </c>
    </row>
    <row r="183" spans="2:8" s="338" customFormat="1" ht="19.5" customHeight="1">
      <c r="B183" s="1031">
        <v>68</v>
      </c>
      <c r="C183" s="264" t="s">
        <v>177</v>
      </c>
      <c r="D183" s="532" t="s">
        <v>1636</v>
      </c>
      <c r="E183" s="245" t="s">
        <v>541</v>
      </c>
      <c r="F183" s="407"/>
      <c r="G183" s="1032">
        <f>'2.2 г.орг'!P208</f>
        <v>14136</v>
      </c>
      <c r="H183" s="1517">
        <f t="shared" si="7"/>
        <v>14136</v>
      </c>
    </row>
    <row r="184" spans="2:8" s="338" customFormat="1" ht="17.25" customHeight="1">
      <c r="B184" s="1031">
        <v>70</v>
      </c>
      <c r="C184" s="245" t="s">
        <v>714</v>
      </c>
      <c r="D184" s="532" t="s">
        <v>1636</v>
      </c>
      <c r="E184" s="245" t="s">
        <v>541</v>
      </c>
      <c r="F184" s="407"/>
      <c r="G184" s="1032">
        <f>'2.2 г.орг'!P209</f>
        <v>2494</v>
      </c>
      <c r="H184" s="1517">
        <f t="shared" si="7"/>
        <v>2494</v>
      </c>
    </row>
    <row r="185" spans="2:8" s="338" customFormat="1" ht="18" customHeight="1">
      <c r="B185" s="1031">
        <v>19</v>
      </c>
      <c r="C185" s="264" t="s">
        <v>1854</v>
      </c>
      <c r="D185" s="532" t="s">
        <v>1636</v>
      </c>
      <c r="E185" s="245" t="s">
        <v>541</v>
      </c>
      <c r="F185" s="245"/>
      <c r="G185" s="1032">
        <f>'2.2 г.орг'!P210</f>
        <v>4200</v>
      </c>
      <c r="H185" s="1517">
        <f t="shared" si="7"/>
        <v>4200</v>
      </c>
    </row>
    <row r="186" spans="2:8" s="338" customFormat="1" ht="25.5" customHeight="1">
      <c r="B186" s="1036">
        <v>21</v>
      </c>
      <c r="C186" s="264" t="s">
        <v>790</v>
      </c>
      <c r="D186" s="532" t="s">
        <v>1636</v>
      </c>
      <c r="E186" s="245" t="s">
        <v>541</v>
      </c>
      <c r="F186" s="245"/>
      <c r="G186" s="1032">
        <f>'2.2 г.орг'!P213</f>
        <v>1646</v>
      </c>
      <c r="H186" s="1517">
        <f t="shared" si="7"/>
        <v>1646</v>
      </c>
    </row>
    <row r="187" spans="2:8" s="338" customFormat="1" ht="21" customHeight="1">
      <c r="B187" s="1031">
        <v>10</v>
      </c>
      <c r="C187" s="245" t="s">
        <v>1548</v>
      </c>
      <c r="D187" s="532" t="s">
        <v>1636</v>
      </c>
      <c r="E187" s="1989" t="s">
        <v>300</v>
      </c>
      <c r="F187" s="407"/>
      <c r="G187" s="1033">
        <f>'2.2 г.орг'!P214</f>
        <v>1268</v>
      </c>
      <c r="H187" s="1517">
        <f t="shared" si="7"/>
        <v>1268</v>
      </c>
    </row>
    <row r="188" spans="2:8" s="338" customFormat="1" ht="24" customHeight="1">
      <c r="B188" s="1031">
        <v>11</v>
      </c>
      <c r="C188" s="264" t="s">
        <v>1549</v>
      </c>
      <c r="D188" s="532" t="s">
        <v>1636</v>
      </c>
      <c r="E188" s="1990"/>
      <c r="F188" s="407"/>
      <c r="G188" s="1033">
        <f>'2.2 г.орг'!P215</f>
        <v>2400</v>
      </c>
      <c r="H188" s="1517">
        <f t="shared" si="7"/>
        <v>2400</v>
      </c>
    </row>
    <row r="189" spans="2:8" s="338" customFormat="1" ht="21" customHeight="1">
      <c r="B189" s="1031">
        <v>25</v>
      </c>
      <c r="C189" s="264" t="s">
        <v>1049</v>
      </c>
      <c r="D189" s="532" t="s">
        <v>1636</v>
      </c>
      <c r="E189" s="245" t="s">
        <v>541</v>
      </c>
      <c r="F189" s="407"/>
      <c r="G189" s="1032">
        <f>'2.2 г.орг'!P217</f>
        <v>4500</v>
      </c>
      <c r="H189" s="1517">
        <f t="shared" si="7"/>
        <v>4500</v>
      </c>
    </row>
    <row r="190" spans="2:8" s="338" customFormat="1" ht="40.5" customHeight="1">
      <c r="B190" s="1031">
        <v>26</v>
      </c>
      <c r="C190" s="867" t="s">
        <v>634</v>
      </c>
      <c r="D190" s="532" t="s">
        <v>1636</v>
      </c>
      <c r="E190" s="245" t="s">
        <v>541</v>
      </c>
      <c r="F190" s="997"/>
      <c r="G190" s="1032">
        <f>'2.2 г.орг'!P218</f>
        <v>35448</v>
      </c>
      <c r="H190" s="1517">
        <f>G190</f>
        <v>35448</v>
      </c>
    </row>
    <row r="191" spans="2:8" s="338" customFormat="1" ht="18.75" customHeight="1">
      <c r="B191" s="1031">
        <v>27</v>
      </c>
      <c r="C191" s="264" t="s">
        <v>1517</v>
      </c>
      <c r="D191" s="532" t="s">
        <v>1636</v>
      </c>
      <c r="E191" s="245" t="s">
        <v>541</v>
      </c>
      <c r="F191" s="531"/>
      <c r="G191" s="1032">
        <f>'2.2 г.орг'!P222</f>
        <v>2700</v>
      </c>
      <c r="H191" s="1517">
        <f>G191</f>
        <v>2700</v>
      </c>
    </row>
    <row r="192" spans="1:8" s="1513" customFormat="1" ht="25.5" customHeight="1">
      <c r="A192" s="1513">
        <v>3</v>
      </c>
      <c r="B192" s="1998" t="s">
        <v>601</v>
      </c>
      <c r="C192" s="1999"/>
      <c r="D192" s="1999"/>
      <c r="E192" s="1999"/>
      <c r="F192" s="1999"/>
      <c r="G192" s="1516">
        <f>SUM(G193:G195)</f>
        <v>51684</v>
      </c>
      <c r="H192" s="1517">
        <f>SUM(H193:H195)</f>
        <v>51684</v>
      </c>
    </row>
    <row r="193" spans="2:8" s="338" customFormat="1" ht="25.5" customHeight="1">
      <c r="B193" s="1039">
        <v>1</v>
      </c>
      <c r="C193" s="870" t="str">
        <f>'2.3 метод.'!B7</f>
        <v>Конференция по водным видам спорта</v>
      </c>
      <c r="D193" s="532" t="s">
        <v>1889</v>
      </c>
      <c r="E193" s="245" t="s">
        <v>541</v>
      </c>
      <c r="F193" s="1992"/>
      <c r="G193" s="1037">
        <f>'2.3 метод.'!I7</f>
        <v>4904</v>
      </c>
      <c r="H193" s="637">
        <f>G193</f>
        <v>4904</v>
      </c>
    </row>
    <row r="194" spans="2:8" s="338" customFormat="1" ht="25.5" customHeight="1">
      <c r="B194" s="1039">
        <v>2</v>
      </c>
      <c r="C194" s="870" t="str">
        <f>'2.3 метод.'!B10</f>
        <v>Семинар для преподавателей ДЮСШ</v>
      </c>
      <c r="D194" s="532" t="s">
        <v>1634</v>
      </c>
      <c r="E194" s="245" t="s">
        <v>541</v>
      </c>
      <c r="F194" s="1993"/>
      <c r="G194" s="1037">
        <f>'2.3 метод.'!I10</f>
        <v>29520</v>
      </c>
      <c r="H194" s="637">
        <f>G194</f>
        <v>29520</v>
      </c>
    </row>
    <row r="195" spans="2:8" s="338" customFormat="1" ht="26.25" customHeight="1">
      <c r="B195" s="1039">
        <v>3</v>
      </c>
      <c r="C195" s="537" t="str">
        <f>'2.3 метод.'!B13</f>
        <v>Конференция по легкой атлетике</v>
      </c>
      <c r="D195" s="532" t="s">
        <v>1636</v>
      </c>
      <c r="E195" s="245" t="s">
        <v>541</v>
      </c>
      <c r="F195" s="1994"/>
      <c r="G195" s="1037">
        <f>'2.3 метод.'!I13</f>
        <v>17260</v>
      </c>
      <c r="H195" s="637">
        <f>G195</f>
        <v>17260</v>
      </c>
    </row>
    <row r="196" spans="2:8" s="659" customFormat="1" ht="26.25" customHeight="1">
      <c r="B196" s="1634" t="s">
        <v>1898</v>
      </c>
      <c r="C196" s="2024" t="s">
        <v>600</v>
      </c>
      <c r="D196" s="2025"/>
      <c r="E196" s="2025"/>
      <c r="F196" s="2026"/>
      <c r="G196" s="1315">
        <f>G197+G221+G228+G260</f>
        <v>1027137</v>
      </c>
      <c r="H196" s="1632">
        <f>H197+H221+H228+H260</f>
        <v>1027137</v>
      </c>
    </row>
    <row r="197" spans="1:8" s="1513" customFormat="1" ht="28.5" customHeight="1">
      <c r="A197" s="1513">
        <v>23</v>
      </c>
      <c r="B197" s="1998" t="s">
        <v>865</v>
      </c>
      <c r="C197" s="1999"/>
      <c r="D197" s="1999"/>
      <c r="E197" s="1999"/>
      <c r="F197" s="1999"/>
      <c r="G197" s="1516">
        <f>SUM(G198:G220)</f>
        <v>357750</v>
      </c>
      <c r="H197" s="1517">
        <f>SUM(H198:H220)</f>
        <v>357750</v>
      </c>
    </row>
    <row r="198" spans="2:8" s="338" customFormat="1" ht="16.5" customHeight="1">
      <c r="B198" s="1031">
        <v>1</v>
      </c>
      <c r="C198" s="245" t="s">
        <v>112</v>
      </c>
      <c r="D198" s="532" t="s">
        <v>1889</v>
      </c>
      <c r="E198" s="245" t="s">
        <v>741</v>
      </c>
      <c r="F198" s="245"/>
      <c r="G198" s="1032">
        <f>'3.1 УТС'!H9</f>
        <v>8100</v>
      </c>
      <c r="H198" s="536">
        <f aca="true" t="shared" si="8" ref="H198:H259">G198</f>
        <v>8100</v>
      </c>
    </row>
    <row r="199" spans="2:8" s="338" customFormat="1" ht="17.25" customHeight="1">
      <c r="B199" s="1031">
        <v>2</v>
      </c>
      <c r="C199" s="264" t="s">
        <v>1631</v>
      </c>
      <c r="D199" s="532" t="s">
        <v>1889</v>
      </c>
      <c r="E199" s="245" t="s">
        <v>541</v>
      </c>
      <c r="F199" s="407"/>
      <c r="G199" s="1032">
        <f>'3.1 УТС'!H10</f>
        <v>27000</v>
      </c>
      <c r="H199" s="536">
        <f t="shared" si="8"/>
        <v>27000</v>
      </c>
    </row>
    <row r="200" spans="2:8" s="338" customFormat="1" ht="15.75" customHeight="1">
      <c r="B200" s="1031">
        <v>4</v>
      </c>
      <c r="C200" s="264" t="s">
        <v>1780</v>
      </c>
      <c r="D200" s="532" t="s">
        <v>1889</v>
      </c>
      <c r="E200" s="245" t="s">
        <v>541</v>
      </c>
      <c r="F200" s="1984" t="s">
        <v>599</v>
      </c>
      <c r="G200" s="1032">
        <f>'3.1 УТС'!H11</f>
        <v>27000</v>
      </c>
      <c r="H200" s="536">
        <f t="shared" si="8"/>
        <v>27000</v>
      </c>
    </row>
    <row r="201" spans="2:8" s="338" customFormat="1" ht="17.25" customHeight="1">
      <c r="B201" s="1031">
        <v>5</v>
      </c>
      <c r="C201" s="264" t="s">
        <v>1632</v>
      </c>
      <c r="D201" s="532" t="s">
        <v>1889</v>
      </c>
      <c r="E201" s="245" t="s">
        <v>541</v>
      </c>
      <c r="F201" s="1984"/>
      <c r="G201" s="1032">
        <f>'3.1 УТС'!H12</f>
        <v>13500</v>
      </c>
      <c r="H201" s="536">
        <f t="shared" si="8"/>
        <v>13500</v>
      </c>
    </row>
    <row r="202" spans="2:8" s="338" customFormat="1" ht="18" customHeight="1">
      <c r="B202" s="1031">
        <v>6</v>
      </c>
      <c r="C202" s="264" t="s">
        <v>42</v>
      </c>
      <c r="D202" s="532" t="s">
        <v>1889</v>
      </c>
      <c r="E202" s="245" t="s">
        <v>541</v>
      </c>
      <c r="F202" s="1984"/>
      <c r="G202" s="1032">
        <f>'3.1 УТС'!H13</f>
        <v>13500</v>
      </c>
      <c r="H202" s="536">
        <f t="shared" si="8"/>
        <v>13500</v>
      </c>
    </row>
    <row r="203" spans="2:8" s="338" customFormat="1" ht="18" customHeight="1">
      <c r="B203" s="1031">
        <v>7</v>
      </c>
      <c r="C203" s="264" t="s">
        <v>742</v>
      </c>
      <c r="D203" s="532" t="s">
        <v>743</v>
      </c>
      <c r="E203" s="245" t="s">
        <v>541</v>
      </c>
      <c r="F203" s="1984"/>
      <c r="G203" s="1032">
        <f>'3.1 УТС'!H14*12</f>
        <v>10800</v>
      </c>
      <c r="H203" s="536">
        <f t="shared" si="8"/>
        <v>10800</v>
      </c>
    </row>
    <row r="204" spans="2:8" s="338" customFormat="1" ht="15" customHeight="1">
      <c r="B204" s="1031">
        <v>8</v>
      </c>
      <c r="C204" s="245" t="s">
        <v>43</v>
      </c>
      <c r="D204" s="532" t="s">
        <v>1889</v>
      </c>
      <c r="E204" s="245" t="s">
        <v>541</v>
      </c>
      <c r="F204" s="1984"/>
      <c r="G204" s="1032">
        <f>'3.1 УТС'!H17</f>
        <v>13500</v>
      </c>
      <c r="H204" s="536">
        <f t="shared" si="8"/>
        <v>13500</v>
      </c>
    </row>
    <row r="205" spans="2:8" s="338" customFormat="1" ht="24" customHeight="1">
      <c r="B205" s="1031">
        <v>9</v>
      </c>
      <c r="C205" s="264" t="s">
        <v>113</v>
      </c>
      <c r="D205" s="532" t="s">
        <v>1889</v>
      </c>
      <c r="E205" s="245" t="s">
        <v>541</v>
      </c>
      <c r="F205" s="1984"/>
      <c r="G205" s="1032">
        <f>'3.1 УТС'!H18</f>
        <v>13500</v>
      </c>
      <c r="H205" s="536">
        <f t="shared" si="8"/>
        <v>13500</v>
      </c>
    </row>
    <row r="206" spans="2:8" s="338" customFormat="1" ht="18" customHeight="1">
      <c r="B206" s="1031">
        <v>10</v>
      </c>
      <c r="C206" s="245" t="s">
        <v>114</v>
      </c>
      <c r="D206" s="532" t="s">
        <v>1889</v>
      </c>
      <c r="E206" s="245" t="s">
        <v>541</v>
      </c>
      <c r="F206" s="1984"/>
      <c r="G206" s="1032">
        <f>'3.1 УТС'!H19</f>
        <v>5400</v>
      </c>
      <c r="H206" s="536">
        <f t="shared" si="8"/>
        <v>5400</v>
      </c>
    </row>
    <row r="207" spans="2:8" s="338" customFormat="1" ht="18.75" customHeight="1">
      <c r="B207" s="1031">
        <v>11</v>
      </c>
      <c r="C207" s="245" t="s">
        <v>115</v>
      </c>
      <c r="D207" s="532" t="s">
        <v>1889</v>
      </c>
      <c r="E207" s="245" t="s">
        <v>541</v>
      </c>
      <c r="F207" s="407"/>
      <c r="G207" s="1032">
        <f>'3.1 УТС'!H20</f>
        <v>13500</v>
      </c>
      <c r="H207" s="536">
        <f t="shared" si="8"/>
        <v>13500</v>
      </c>
    </row>
    <row r="208" spans="2:8" s="338" customFormat="1" ht="17.25" customHeight="1">
      <c r="B208" s="1031">
        <v>12</v>
      </c>
      <c r="C208" s="245" t="s">
        <v>995</v>
      </c>
      <c r="D208" s="532" t="s">
        <v>1889</v>
      </c>
      <c r="E208" s="245" t="s">
        <v>541</v>
      </c>
      <c r="F208" s="407"/>
      <c r="G208" s="1032">
        <f>'3.1 УТС'!H21</f>
        <v>5400</v>
      </c>
      <c r="H208" s="536">
        <f t="shared" si="8"/>
        <v>5400</v>
      </c>
    </row>
    <row r="209" spans="2:8" s="338" customFormat="1" ht="18.75" customHeight="1">
      <c r="B209" s="1031">
        <v>13</v>
      </c>
      <c r="C209" s="245" t="s">
        <v>115</v>
      </c>
      <c r="D209" s="532" t="s">
        <v>1889</v>
      </c>
      <c r="E209" s="245" t="s">
        <v>541</v>
      </c>
      <c r="F209" s="407"/>
      <c r="G209" s="1032">
        <f>'3.1 УТС'!H25</f>
        <v>13500</v>
      </c>
      <c r="H209" s="536">
        <f t="shared" si="8"/>
        <v>13500</v>
      </c>
    </row>
    <row r="210" spans="2:8" s="338" customFormat="1" ht="20.25" customHeight="1">
      <c r="B210" s="1031">
        <v>14</v>
      </c>
      <c r="C210" s="264" t="s">
        <v>792</v>
      </c>
      <c r="D210" s="532" t="s">
        <v>1634</v>
      </c>
      <c r="E210" s="245" t="s">
        <v>541</v>
      </c>
      <c r="F210" s="407"/>
      <c r="G210" s="1032">
        <f>'3.1 УТС'!H29</f>
        <v>13500</v>
      </c>
      <c r="H210" s="536">
        <f t="shared" si="8"/>
        <v>13500</v>
      </c>
    </row>
    <row r="211" spans="2:8" s="338" customFormat="1" ht="20.25" customHeight="1">
      <c r="B211" s="1031">
        <v>15</v>
      </c>
      <c r="C211" s="264" t="str">
        <f>'3.1 УТС'!B38</f>
        <v>Лыжи. УТС к всероссийск турниру</v>
      </c>
      <c r="D211" s="532" t="s">
        <v>1634</v>
      </c>
      <c r="E211" s="245" t="s">
        <v>541</v>
      </c>
      <c r="F211" s="407"/>
      <c r="G211" s="1032">
        <f>'3.1 УТС'!H38</f>
        <v>16200</v>
      </c>
      <c r="H211" s="536">
        <f t="shared" si="8"/>
        <v>16200</v>
      </c>
    </row>
    <row r="212" spans="2:8" s="338" customFormat="1" ht="18" customHeight="1">
      <c r="B212" s="1031">
        <v>16</v>
      </c>
      <c r="C212" s="264" t="s">
        <v>996</v>
      </c>
      <c r="D212" s="532" t="s">
        <v>1634</v>
      </c>
      <c r="E212" s="245" t="s">
        <v>541</v>
      </c>
      <c r="F212" s="407"/>
      <c r="G212" s="1032">
        <f>'3.1 УТС'!H30</f>
        <v>27000</v>
      </c>
      <c r="H212" s="536">
        <f t="shared" si="8"/>
        <v>27000</v>
      </c>
    </row>
    <row r="213" spans="2:8" s="338" customFormat="1" ht="18.75" customHeight="1">
      <c r="B213" s="1031">
        <v>17</v>
      </c>
      <c r="C213" s="264" t="s">
        <v>1632</v>
      </c>
      <c r="D213" s="532" t="s">
        <v>1635</v>
      </c>
      <c r="E213" s="245" t="s">
        <v>541</v>
      </c>
      <c r="F213" s="407"/>
      <c r="G213" s="1032">
        <f>'3.1 УТС'!H42</f>
        <v>9000</v>
      </c>
      <c r="H213" s="536">
        <f t="shared" si="8"/>
        <v>9000</v>
      </c>
    </row>
    <row r="214" spans="2:8" s="338" customFormat="1" ht="25.5" customHeight="1">
      <c r="B214" s="1031">
        <v>18</v>
      </c>
      <c r="C214" s="264" t="s">
        <v>746</v>
      </c>
      <c r="D214" s="532" t="s">
        <v>1635</v>
      </c>
      <c r="E214" s="245" t="s">
        <v>541</v>
      </c>
      <c r="F214" s="407"/>
      <c r="G214" s="1032">
        <f>'3.1 УТС'!H49</f>
        <v>21600</v>
      </c>
      <c r="H214" s="536">
        <f t="shared" si="8"/>
        <v>21600</v>
      </c>
    </row>
    <row r="215" spans="2:8" s="338" customFormat="1" ht="20.25" customHeight="1">
      <c r="B215" s="1031">
        <v>18</v>
      </c>
      <c r="C215" s="264" t="s">
        <v>1781</v>
      </c>
      <c r="D215" s="532" t="s">
        <v>1635</v>
      </c>
      <c r="E215" s="245" t="s">
        <v>541</v>
      </c>
      <c r="F215" s="407"/>
      <c r="G215" s="1032">
        <f>'3.1 УТС'!H50</f>
        <v>18900</v>
      </c>
      <c r="H215" s="536">
        <f t="shared" si="8"/>
        <v>18900</v>
      </c>
    </row>
    <row r="216" spans="2:8" s="338" customFormat="1" ht="18" customHeight="1">
      <c r="B216" s="1031">
        <v>19</v>
      </c>
      <c r="C216" s="245" t="s">
        <v>744</v>
      </c>
      <c r="D216" s="532" t="s">
        <v>1635</v>
      </c>
      <c r="E216" s="245" t="s">
        <v>541</v>
      </c>
      <c r="F216" s="407"/>
      <c r="G216" s="1032">
        <f>'3.1 УТС'!H51</f>
        <v>5400</v>
      </c>
      <c r="H216" s="536">
        <f t="shared" si="8"/>
        <v>5400</v>
      </c>
    </row>
    <row r="217" spans="2:8" s="338" customFormat="1" ht="18" customHeight="1">
      <c r="B217" s="1031">
        <v>20</v>
      </c>
      <c r="C217" s="245" t="s">
        <v>793</v>
      </c>
      <c r="D217" s="532" t="s">
        <v>1636</v>
      </c>
      <c r="E217" s="245" t="s">
        <v>541</v>
      </c>
      <c r="F217" s="407"/>
      <c r="G217" s="1032">
        <f>'3.1 УТС'!H55</f>
        <v>21600</v>
      </c>
      <c r="H217" s="536">
        <f t="shared" si="8"/>
        <v>21600</v>
      </c>
    </row>
    <row r="218" spans="2:8" s="338" customFormat="1" ht="17.25" customHeight="1">
      <c r="B218" s="1031">
        <v>21</v>
      </c>
      <c r="C218" s="264" t="s">
        <v>89</v>
      </c>
      <c r="D218" s="532" t="s">
        <v>1636</v>
      </c>
      <c r="E218" s="245" t="s">
        <v>541</v>
      </c>
      <c r="F218" s="407"/>
      <c r="G218" s="1032">
        <f>'3.1 УТС'!H56</f>
        <v>27000</v>
      </c>
      <c r="H218" s="536">
        <f t="shared" si="8"/>
        <v>27000</v>
      </c>
    </row>
    <row r="219" spans="2:8" s="338" customFormat="1" ht="24.75" customHeight="1">
      <c r="B219" s="1031">
        <v>22</v>
      </c>
      <c r="C219" s="264" t="s">
        <v>90</v>
      </c>
      <c r="D219" s="532" t="s">
        <v>1636</v>
      </c>
      <c r="E219" s="245" t="s">
        <v>541</v>
      </c>
      <c r="F219" s="407"/>
      <c r="G219" s="1032">
        <f>'3.1 УТС'!H57</f>
        <v>21600</v>
      </c>
      <c r="H219" s="536">
        <f t="shared" si="8"/>
        <v>21600</v>
      </c>
    </row>
    <row r="220" spans="2:8" s="338" customFormat="1" ht="19.5" customHeight="1">
      <c r="B220" s="1031">
        <v>23</v>
      </c>
      <c r="C220" s="264" t="s">
        <v>1782</v>
      </c>
      <c r="D220" s="532" t="s">
        <v>1636</v>
      </c>
      <c r="E220" s="245" t="s">
        <v>541</v>
      </c>
      <c r="F220" s="407"/>
      <c r="G220" s="1032">
        <f>'3.1 УТС'!H34</f>
        <v>11250</v>
      </c>
      <c r="H220" s="536">
        <f t="shared" si="8"/>
        <v>11250</v>
      </c>
    </row>
    <row r="221" spans="1:8" s="1513" customFormat="1" ht="17.25" customHeight="1">
      <c r="A221" s="1513">
        <v>7</v>
      </c>
      <c r="B221" s="1998" t="s">
        <v>1577</v>
      </c>
      <c r="C221" s="1999"/>
      <c r="D221" s="1999"/>
      <c r="E221" s="1999"/>
      <c r="F221" s="1999"/>
      <c r="G221" s="1516">
        <f>SUM(G222:G227)</f>
        <v>221309</v>
      </c>
      <c r="H221" s="1517">
        <f>SUM(H222:H227)</f>
        <v>221309</v>
      </c>
    </row>
    <row r="222" spans="2:8" s="338" customFormat="1" ht="21" customHeight="1">
      <c r="B222" s="246">
        <v>1</v>
      </c>
      <c r="C222" s="238" t="s">
        <v>1881</v>
      </c>
      <c r="D222" s="530" t="s">
        <v>1889</v>
      </c>
      <c r="E222" s="240" t="s">
        <v>541</v>
      </c>
      <c r="F222" s="1984" t="s">
        <v>1065</v>
      </c>
      <c r="G222" s="1033">
        <f>'3.2 всер.тур'!O7</f>
        <v>39366</v>
      </c>
      <c r="H222" s="536">
        <f>G222</f>
        <v>39366</v>
      </c>
    </row>
    <row r="223" spans="2:8" s="338" customFormat="1" ht="21" customHeight="1">
      <c r="B223" s="1031">
        <v>2</v>
      </c>
      <c r="C223" s="264" t="s">
        <v>1183</v>
      </c>
      <c r="D223" s="532" t="s">
        <v>1634</v>
      </c>
      <c r="E223" s="245" t="s">
        <v>541</v>
      </c>
      <c r="F223" s="1984"/>
      <c r="G223" s="1032">
        <f>'3.2 всер.тур'!O10</f>
        <v>32973</v>
      </c>
      <c r="H223" s="536">
        <f t="shared" si="8"/>
        <v>32973</v>
      </c>
    </row>
    <row r="224" spans="2:8" s="338" customFormat="1" ht="28.5" customHeight="1">
      <c r="B224" s="1031">
        <v>4</v>
      </c>
      <c r="C224" s="264" t="s">
        <v>439</v>
      </c>
      <c r="D224" s="532" t="s">
        <v>1635</v>
      </c>
      <c r="E224" s="245" t="s">
        <v>747</v>
      </c>
      <c r="F224" s="170"/>
      <c r="G224" s="1032">
        <f>'3.2 всер.тур'!O13</f>
        <v>34185</v>
      </c>
      <c r="H224" s="536">
        <f t="shared" si="8"/>
        <v>34185</v>
      </c>
    </row>
    <row r="225" spans="2:8" s="338" customFormat="1" ht="21.75" customHeight="1">
      <c r="B225" s="1031">
        <v>5</v>
      </c>
      <c r="C225" s="264" t="s">
        <v>794</v>
      </c>
      <c r="D225" s="532" t="s">
        <v>1636</v>
      </c>
      <c r="E225" s="245" t="s">
        <v>741</v>
      </c>
      <c r="F225" s="1989" t="s">
        <v>1066</v>
      </c>
      <c r="G225" s="1032">
        <f>'3.2 всер.тур'!O17</f>
        <v>29536</v>
      </c>
      <c r="H225" s="536">
        <f t="shared" si="8"/>
        <v>29536</v>
      </c>
    </row>
    <row r="226" spans="2:8" s="338" customFormat="1" ht="21" customHeight="1">
      <c r="B226" s="1031">
        <v>6</v>
      </c>
      <c r="C226" s="264" t="s">
        <v>567</v>
      </c>
      <c r="D226" s="532" t="s">
        <v>1636</v>
      </c>
      <c r="E226" s="245" t="s">
        <v>541</v>
      </c>
      <c r="F226" s="1990"/>
      <c r="G226" s="1032">
        <f>'3.2 всер.тур'!O20</f>
        <v>34938</v>
      </c>
      <c r="H226" s="536">
        <f t="shared" si="8"/>
        <v>34938</v>
      </c>
    </row>
    <row r="227" spans="2:8" s="338" customFormat="1" ht="26.25" customHeight="1">
      <c r="B227" s="1031">
        <v>7</v>
      </c>
      <c r="C227" s="264" t="s">
        <v>699</v>
      </c>
      <c r="D227" s="532" t="s">
        <v>1636</v>
      </c>
      <c r="E227" s="245" t="s">
        <v>541</v>
      </c>
      <c r="F227" s="1991"/>
      <c r="G227" s="1032">
        <f>'3.2 всер.тур'!O21</f>
        <v>50311</v>
      </c>
      <c r="H227" s="536">
        <f t="shared" si="8"/>
        <v>50311</v>
      </c>
    </row>
    <row r="228" spans="1:8" s="1513" customFormat="1" ht="20.25" customHeight="1">
      <c r="A228" s="1513">
        <v>32</v>
      </c>
      <c r="B228" s="1998" t="s">
        <v>1546</v>
      </c>
      <c r="C228" s="1999"/>
      <c r="D228" s="1999"/>
      <c r="E228" s="1999"/>
      <c r="F228" s="1999"/>
      <c r="G228" s="1516">
        <f>SUM(G229:G259)</f>
        <v>351283</v>
      </c>
      <c r="H228" s="1517">
        <f>SUM(H229:H259)</f>
        <v>351283</v>
      </c>
    </row>
    <row r="229" spans="2:8" s="338" customFormat="1" ht="20.25" customHeight="1">
      <c r="B229" s="1036">
        <v>1</v>
      </c>
      <c r="C229" s="870" t="s">
        <v>1058</v>
      </c>
      <c r="D229" s="532" t="s">
        <v>1889</v>
      </c>
      <c r="E229" s="245" t="s">
        <v>1322</v>
      </c>
      <c r="F229" s="561"/>
      <c r="G229" s="1037">
        <f>'3.3 перв.'!O7</f>
        <v>38424</v>
      </c>
      <c r="H229" s="637">
        <f>G229</f>
        <v>38424</v>
      </c>
    </row>
    <row r="230" spans="2:8" s="338" customFormat="1" ht="18.75" customHeight="1">
      <c r="B230" s="1031">
        <v>2</v>
      </c>
      <c r="C230" s="264" t="s">
        <v>1060</v>
      </c>
      <c r="D230" s="532" t="s">
        <v>1889</v>
      </c>
      <c r="E230" s="245" t="s">
        <v>541</v>
      </c>
      <c r="F230" s="561"/>
      <c r="G230" s="1032">
        <f>'3.3 перв.'!O9</f>
        <v>8250</v>
      </c>
      <c r="H230" s="536">
        <f t="shared" si="8"/>
        <v>8250</v>
      </c>
    </row>
    <row r="231" spans="2:8" s="338" customFormat="1" ht="18.75" customHeight="1">
      <c r="B231" s="1036">
        <v>3</v>
      </c>
      <c r="C231" s="245" t="s">
        <v>327</v>
      </c>
      <c r="D231" s="532" t="s">
        <v>1889</v>
      </c>
      <c r="E231" s="245" t="s">
        <v>1322</v>
      </c>
      <c r="F231" s="561"/>
      <c r="G231" s="1032">
        <f>'3.3 перв.'!O10</f>
        <v>23846</v>
      </c>
      <c r="H231" s="536">
        <f t="shared" si="8"/>
        <v>23846</v>
      </c>
    </row>
    <row r="232" spans="2:8" s="338" customFormat="1" ht="20.25" customHeight="1">
      <c r="B232" s="1031">
        <v>4</v>
      </c>
      <c r="C232" s="245" t="s">
        <v>1061</v>
      </c>
      <c r="D232" s="532" t="s">
        <v>1889</v>
      </c>
      <c r="E232" s="245" t="s">
        <v>541</v>
      </c>
      <c r="F232" s="561"/>
      <c r="G232" s="1032">
        <f>'3.3 перв.'!O11</f>
        <v>11000</v>
      </c>
      <c r="H232" s="536">
        <f>G232</f>
        <v>11000</v>
      </c>
    </row>
    <row r="233" spans="2:8" s="338" customFormat="1" ht="20.25" customHeight="1">
      <c r="B233" s="1036">
        <v>5</v>
      </c>
      <c r="C233" s="264" t="s">
        <v>1059</v>
      </c>
      <c r="D233" s="532" t="s">
        <v>1889</v>
      </c>
      <c r="E233" s="245" t="s">
        <v>541</v>
      </c>
      <c r="F233" s="561"/>
      <c r="G233" s="1032">
        <f>'3.3 перв.'!O13</f>
        <v>11863</v>
      </c>
      <c r="H233" s="536">
        <f t="shared" si="8"/>
        <v>11863</v>
      </c>
    </row>
    <row r="234" spans="2:8" s="338" customFormat="1" ht="19.5" customHeight="1">
      <c r="B234" s="1031">
        <v>6</v>
      </c>
      <c r="C234" s="264" t="s">
        <v>1141</v>
      </c>
      <c r="D234" s="532" t="s">
        <v>1889</v>
      </c>
      <c r="E234" s="245" t="s">
        <v>541</v>
      </c>
      <c r="F234" s="561"/>
      <c r="G234" s="1033">
        <f>'3.3 перв.'!O17</f>
        <v>10346</v>
      </c>
      <c r="H234" s="536">
        <f t="shared" si="8"/>
        <v>10346</v>
      </c>
    </row>
    <row r="235" spans="2:8" s="338" customFormat="1" ht="21.75" customHeight="1">
      <c r="B235" s="1036">
        <v>7</v>
      </c>
      <c r="C235" s="264" t="s">
        <v>430</v>
      </c>
      <c r="D235" s="532" t="s">
        <v>1889</v>
      </c>
      <c r="E235" s="245" t="s">
        <v>541</v>
      </c>
      <c r="F235" s="561"/>
      <c r="G235" s="1032">
        <f>'3.3 перв.'!O20</f>
        <v>11356</v>
      </c>
      <c r="H235" s="536">
        <f t="shared" si="8"/>
        <v>11356</v>
      </c>
    </row>
    <row r="236" spans="2:8" s="338" customFormat="1" ht="17.25" customHeight="1">
      <c r="B236" s="1031">
        <v>8</v>
      </c>
      <c r="C236" s="264" t="s">
        <v>41</v>
      </c>
      <c r="D236" s="532" t="s">
        <v>1889</v>
      </c>
      <c r="E236" s="245" t="s">
        <v>541</v>
      </c>
      <c r="F236" s="561"/>
      <c r="G236" s="1032">
        <f>'3.3 перв.'!O22</f>
        <v>11356</v>
      </c>
      <c r="H236" s="536">
        <f>G236</f>
        <v>11356</v>
      </c>
    </row>
    <row r="237" spans="2:8" s="338" customFormat="1" ht="27" customHeight="1">
      <c r="B237" s="1036">
        <v>9</v>
      </c>
      <c r="C237" s="264" t="s">
        <v>1227</v>
      </c>
      <c r="D237" s="532" t="s">
        <v>1889</v>
      </c>
      <c r="E237" s="245" t="s">
        <v>541</v>
      </c>
      <c r="F237" s="561"/>
      <c r="G237" s="1032">
        <f>'3.3 перв.'!O23</f>
        <v>10447</v>
      </c>
      <c r="H237" s="536">
        <f t="shared" si="8"/>
        <v>10447</v>
      </c>
    </row>
    <row r="238" spans="2:8" s="338" customFormat="1" ht="19.5" customHeight="1">
      <c r="B238" s="1031">
        <v>10</v>
      </c>
      <c r="C238" s="264" t="s">
        <v>988</v>
      </c>
      <c r="D238" s="532" t="s">
        <v>1889</v>
      </c>
      <c r="E238" s="245" t="s">
        <v>541</v>
      </c>
      <c r="F238" s="561"/>
      <c r="G238" s="1032">
        <f>'3.3 перв.'!O26</f>
        <v>6000</v>
      </c>
      <c r="H238" s="536">
        <f t="shared" si="8"/>
        <v>6000</v>
      </c>
    </row>
    <row r="239" spans="2:8" s="338" customFormat="1" ht="19.5" customHeight="1">
      <c r="B239" s="1036">
        <v>11</v>
      </c>
      <c r="C239" s="264" t="s">
        <v>1062</v>
      </c>
      <c r="D239" s="532" t="s">
        <v>1634</v>
      </c>
      <c r="E239" s="245" t="s">
        <v>1322</v>
      </c>
      <c r="F239" s="561"/>
      <c r="G239" s="1032">
        <f>'3.3 перв.'!O29</f>
        <v>8081</v>
      </c>
      <c r="H239" s="536">
        <f>'3.3 перв.'!O29</f>
        <v>8081</v>
      </c>
    </row>
    <row r="240" spans="2:8" s="338" customFormat="1" ht="25.5" customHeight="1">
      <c r="B240" s="1031">
        <v>12</v>
      </c>
      <c r="C240" s="264" t="s">
        <v>1228</v>
      </c>
      <c r="D240" s="532" t="s">
        <v>1634</v>
      </c>
      <c r="E240" s="245" t="s">
        <v>541</v>
      </c>
      <c r="F240" s="561"/>
      <c r="G240" s="1032">
        <f>'3.3 перв.'!O31</f>
        <v>6001</v>
      </c>
      <c r="H240" s="536">
        <f>'3.3 перв.'!O31</f>
        <v>6001</v>
      </c>
    </row>
    <row r="241" spans="2:8" s="338" customFormat="1" ht="18.75" customHeight="1">
      <c r="B241" s="1036">
        <v>13</v>
      </c>
      <c r="C241" s="264" t="s">
        <v>989</v>
      </c>
      <c r="D241" s="532" t="s">
        <v>1634</v>
      </c>
      <c r="E241" s="245" t="s">
        <v>541</v>
      </c>
      <c r="F241" s="561"/>
      <c r="G241" s="1032">
        <f>'3.3 перв.'!O32</f>
        <v>15356</v>
      </c>
      <c r="H241" s="536">
        <f t="shared" si="8"/>
        <v>15356</v>
      </c>
    </row>
    <row r="242" spans="2:8" s="338" customFormat="1" ht="18" customHeight="1">
      <c r="B242" s="1031">
        <v>14</v>
      </c>
      <c r="C242" s="245" t="s">
        <v>990</v>
      </c>
      <c r="D242" s="532" t="s">
        <v>1634</v>
      </c>
      <c r="E242" s="245" t="s">
        <v>541</v>
      </c>
      <c r="F242" s="561"/>
      <c r="G242" s="1032">
        <f>'3.3 перв.'!O35</f>
        <v>834</v>
      </c>
      <c r="H242" s="536">
        <f t="shared" si="8"/>
        <v>834</v>
      </c>
    </row>
    <row r="243" spans="2:8" s="338" customFormat="1" ht="24">
      <c r="B243" s="1036">
        <v>15</v>
      </c>
      <c r="C243" s="264" t="s">
        <v>1738</v>
      </c>
      <c r="D243" s="532" t="s">
        <v>1634</v>
      </c>
      <c r="E243" s="245" t="s">
        <v>748</v>
      </c>
      <c r="F243" s="561"/>
      <c r="G243" s="1032">
        <f>'3.3 перв.'!O36</f>
        <v>11457</v>
      </c>
      <c r="H243" s="536">
        <f t="shared" si="8"/>
        <v>11457</v>
      </c>
    </row>
    <row r="244" spans="2:8" s="338" customFormat="1" ht="18.75" customHeight="1">
      <c r="B244" s="1031">
        <v>16</v>
      </c>
      <c r="C244" s="245" t="s">
        <v>991</v>
      </c>
      <c r="D244" s="532" t="s">
        <v>1634</v>
      </c>
      <c r="E244" s="245" t="s">
        <v>541</v>
      </c>
      <c r="F244" s="561"/>
      <c r="G244" s="1032">
        <f>'3.3 перв.'!O38</f>
        <v>14458</v>
      </c>
      <c r="H244" s="536">
        <f t="shared" si="8"/>
        <v>14458</v>
      </c>
    </row>
    <row r="245" spans="2:8" s="338" customFormat="1" ht="24" customHeight="1">
      <c r="B245" s="1036">
        <v>18</v>
      </c>
      <c r="C245" s="264" t="s">
        <v>1229</v>
      </c>
      <c r="D245" s="532" t="s">
        <v>1634</v>
      </c>
      <c r="E245" s="245" t="s">
        <v>541</v>
      </c>
      <c r="F245" s="561"/>
      <c r="G245" s="1032">
        <f>'3.3 перв.'!O39</f>
        <v>7674</v>
      </c>
      <c r="H245" s="536">
        <f>'3.3 перв.'!O39</f>
        <v>7674</v>
      </c>
    </row>
    <row r="246" spans="2:8" s="338" customFormat="1" ht="21.75" customHeight="1">
      <c r="B246" s="1031">
        <v>19</v>
      </c>
      <c r="C246" s="264" t="s">
        <v>992</v>
      </c>
      <c r="D246" s="532" t="s">
        <v>1634</v>
      </c>
      <c r="E246" s="245" t="s">
        <v>541</v>
      </c>
      <c r="F246" s="561"/>
      <c r="G246" s="1032">
        <f>'3.3 перв.'!O40</f>
        <v>9002</v>
      </c>
      <c r="H246" s="536">
        <f t="shared" si="8"/>
        <v>9002</v>
      </c>
    </row>
    <row r="247" spans="2:8" s="338" customFormat="1" ht="24" customHeight="1">
      <c r="B247" s="1036">
        <v>20</v>
      </c>
      <c r="C247" s="264" t="s">
        <v>78</v>
      </c>
      <c r="D247" s="532" t="s">
        <v>1634</v>
      </c>
      <c r="E247" s="245" t="s">
        <v>541</v>
      </c>
      <c r="F247" s="561"/>
      <c r="G247" s="1032">
        <f>'3.3 перв.'!O44</f>
        <v>10100</v>
      </c>
      <c r="H247" s="536">
        <f>G247</f>
        <v>10100</v>
      </c>
    </row>
    <row r="248" spans="2:8" s="338" customFormat="1" ht="24" customHeight="1">
      <c r="B248" s="1036"/>
      <c r="C248" s="264" t="str">
        <f>'3.3 перв.'!B43</f>
        <v>Самбо. Первенство города.</v>
      </c>
      <c r="D248" s="532" t="s">
        <v>1634</v>
      </c>
      <c r="E248" s="245" t="s">
        <v>541</v>
      </c>
      <c r="F248" s="561"/>
      <c r="G248" s="1032">
        <f>'3.3 перв.'!O43</f>
        <v>10452</v>
      </c>
      <c r="H248" s="536">
        <f>G248</f>
        <v>10452</v>
      </c>
    </row>
    <row r="249" spans="2:8" s="338" customFormat="1" ht="24" customHeight="1">
      <c r="B249" s="1036">
        <v>21</v>
      </c>
      <c r="C249" s="264" t="s">
        <v>1543</v>
      </c>
      <c r="D249" s="532" t="s">
        <v>1635</v>
      </c>
      <c r="E249" s="245" t="s">
        <v>541</v>
      </c>
      <c r="F249" s="561"/>
      <c r="G249" s="1032">
        <f>'3.3 перв.'!O47</f>
        <v>10000</v>
      </c>
      <c r="H249" s="536">
        <f>'3.3 перв.'!O47</f>
        <v>10000</v>
      </c>
    </row>
    <row r="250" spans="2:8" s="338" customFormat="1" ht="17.25" customHeight="1">
      <c r="B250" s="1031">
        <v>22</v>
      </c>
      <c r="C250" s="245" t="s">
        <v>145</v>
      </c>
      <c r="D250" s="532" t="s">
        <v>1635</v>
      </c>
      <c r="E250" s="245" t="s">
        <v>541</v>
      </c>
      <c r="F250" s="561"/>
      <c r="G250" s="1032">
        <f>'3.3 перв.'!O48</f>
        <v>6904</v>
      </c>
      <c r="H250" s="536">
        <f t="shared" si="8"/>
        <v>6904</v>
      </c>
    </row>
    <row r="251" spans="2:8" s="338" customFormat="1" ht="17.25" customHeight="1">
      <c r="B251" s="1036">
        <v>23</v>
      </c>
      <c r="C251" s="245" t="s">
        <v>811</v>
      </c>
      <c r="D251" s="532" t="s">
        <v>1636</v>
      </c>
      <c r="E251" s="245" t="s">
        <v>541</v>
      </c>
      <c r="F251" s="561"/>
      <c r="G251" s="1032">
        <f>'3.3 перв.'!O21</f>
        <v>12185</v>
      </c>
      <c r="H251" s="536">
        <f>G251</f>
        <v>12185</v>
      </c>
    </row>
    <row r="252" spans="2:8" s="338" customFormat="1" ht="18.75" customHeight="1">
      <c r="B252" s="1031">
        <v>24</v>
      </c>
      <c r="C252" s="264" t="s">
        <v>1240</v>
      </c>
      <c r="D252" s="532" t="s">
        <v>1636</v>
      </c>
      <c r="E252" s="245" t="s">
        <v>541</v>
      </c>
      <c r="F252" s="561"/>
      <c r="G252" s="1032">
        <f>'3.3 перв.'!O51</f>
        <v>10385</v>
      </c>
      <c r="H252" s="536">
        <f>G252</f>
        <v>10385</v>
      </c>
    </row>
    <row r="253" spans="2:8" s="338" customFormat="1" ht="12">
      <c r="B253" s="1031">
        <v>26</v>
      </c>
      <c r="C253" s="264" t="s">
        <v>1011</v>
      </c>
      <c r="D253" s="532" t="s">
        <v>1636</v>
      </c>
      <c r="E253" s="245" t="s">
        <v>541</v>
      </c>
      <c r="F253" s="561"/>
      <c r="G253" s="1032">
        <f>'3.3 перв.'!O54</f>
        <v>23280</v>
      </c>
      <c r="H253" s="536">
        <f t="shared" si="8"/>
        <v>23280</v>
      </c>
    </row>
    <row r="254" spans="2:8" s="338" customFormat="1" ht="18" customHeight="1">
      <c r="B254" s="1036">
        <v>27</v>
      </c>
      <c r="C254" s="245" t="s">
        <v>81</v>
      </c>
      <c r="D254" s="532" t="s">
        <v>1636</v>
      </c>
      <c r="E254" s="245" t="s">
        <v>541</v>
      </c>
      <c r="F254" s="561"/>
      <c r="G254" s="1032">
        <f>'3.3 перв.'!O58</f>
        <v>7942</v>
      </c>
      <c r="H254" s="536">
        <f t="shared" si="8"/>
        <v>7942</v>
      </c>
    </row>
    <row r="255" spans="2:8" s="338" customFormat="1" ht="17.25" customHeight="1">
      <c r="B255" s="1036">
        <v>28</v>
      </c>
      <c r="C255" s="245" t="s">
        <v>79</v>
      </c>
      <c r="D255" s="532" t="s">
        <v>1636</v>
      </c>
      <c r="E255" s="245" t="s">
        <v>541</v>
      </c>
      <c r="F255" s="561"/>
      <c r="G255" s="1032">
        <f>'3.3 перв.'!$O$59</f>
        <v>8385</v>
      </c>
      <c r="H255" s="536">
        <f>G255</f>
        <v>8385</v>
      </c>
    </row>
    <row r="256" spans="2:8" s="338" customFormat="1" ht="18.75" customHeight="1">
      <c r="B256" s="1031">
        <v>29</v>
      </c>
      <c r="C256" s="245" t="s">
        <v>82</v>
      </c>
      <c r="D256" s="532" t="s">
        <v>1636</v>
      </c>
      <c r="E256" s="245" t="s">
        <v>541</v>
      </c>
      <c r="F256" s="561"/>
      <c r="G256" s="1033">
        <f>'3.3 перв.'!O60</f>
        <v>6471</v>
      </c>
      <c r="H256" s="536">
        <f t="shared" si="8"/>
        <v>6471</v>
      </c>
    </row>
    <row r="257" spans="2:8" s="338" customFormat="1" ht="23.25" customHeight="1">
      <c r="B257" s="1036">
        <v>30</v>
      </c>
      <c r="C257" s="264" t="s">
        <v>431</v>
      </c>
      <c r="D257" s="532" t="s">
        <v>1636</v>
      </c>
      <c r="E257" s="245" t="s">
        <v>541</v>
      </c>
      <c r="F257" s="561"/>
      <c r="G257" s="1032">
        <f>'3.3 перв.'!O61</f>
        <v>7904</v>
      </c>
      <c r="H257" s="536">
        <f t="shared" si="8"/>
        <v>7904</v>
      </c>
    </row>
    <row r="258" spans="2:8" s="338" customFormat="1" ht="18.75" customHeight="1">
      <c r="B258" s="1031">
        <v>31</v>
      </c>
      <c r="C258" s="264" t="s">
        <v>80</v>
      </c>
      <c r="D258" s="532" t="s">
        <v>1636</v>
      </c>
      <c r="E258" s="245" t="s">
        <v>541</v>
      </c>
      <c r="F258" s="561"/>
      <c r="G258" s="1032">
        <f>'3.3 перв.'!$O$62</f>
        <v>11846</v>
      </c>
      <c r="H258" s="536">
        <f>G258</f>
        <v>11846</v>
      </c>
    </row>
    <row r="259" spans="2:8" s="338" customFormat="1" ht="16.5" customHeight="1">
      <c r="B259" s="1036">
        <v>32</v>
      </c>
      <c r="C259" s="264" t="s">
        <v>1502</v>
      </c>
      <c r="D259" s="532" t="s">
        <v>1636</v>
      </c>
      <c r="E259" s="245" t="s">
        <v>541</v>
      </c>
      <c r="F259" s="561"/>
      <c r="G259" s="1032">
        <f>'3.3 перв.'!O63</f>
        <v>9678</v>
      </c>
      <c r="H259" s="536">
        <f t="shared" si="8"/>
        <v>9678</v>
      </c>
    </row>
    <row r="260" spans="2:8" s="1630" customFormat="1" ht="15">
      <c r="B260" s="1987" t="s">
        <v>105</v>
      </c>
      <c r="C260" s="1988"/>
      <c r="D260" s="1988"/>
      <c r="E260" s="1988"/>
      <c r="F260" s="1988"/>
      <c r="G260" s="1635">
        <f>SUM(G261:G271)</f>
        <v>96795</v>
      </c>
      <c r="H260" s="1629">
        <f>SUM(H261:H271)</f>
        <v>96795</v>
      </c>
    </row>
    <row r="261" spans="2:8" s="338" customFormat="1" ht="26.25" customHeight="1">
      <c r="B261" s="1031">
        <v>6</v>
      </c>
      <c r="C261" s="264" t="s">
        <v>1494</v>
      </c>
      <c r="D261" s="532" t="s">
        <v>1889</v>
      </c>
      <c r="E261" s="245" t="s">
        <v>541</v>
      </c>
      <c r="F261" s="532"/>
      <c r="G261" s="1032">
        <f>'3.4 спорт.гор'!O7</f>
        <v>6008</v>
      </c>
      <c r="H261" s="536">
        <f aca="true" t="shared" si="9" ref="H261:H266">G261</f>
        <v>6008</v>
      </c>
    </row>
    <row r="262" spans="2:8" s="338" customFormat="1" ht="24">
      <c r="B262" s="1031">
        <v>7</v>
      </c>
      <c r="C262" s="264" t="s">
        <v>1432</v>
      </c>
      <c r="D262" s="532" t="s">
        <v>1889</v>
      </c>
      <c r="E262" s="245" t="s">
        <v>541</v>
      </c>
      <c r="F262" s="532"/>
      <c r="G262" s="1032">
        <f>'3.4 спорт.гор'!O8</f>
        <v>7421</v>
      </c>
      <c r="H262" s="536">
        <f t="shared" si="9"/>
        <v>7421</v>
      </c>
    </row>
    <row r="263" spans="2:8" s="338" customFormat="1" ht="30.75" customHeight="1">
      <c r="B263" s="1031">
        <v>8</v>
      </c>
      <c r="C263" s="264" t="s">
        <v>1624</v>
      </c>
      <c r="D263" s="532" t="s">
        <v>1889</v>
      </c>
      <c r="E263" s="245" t="s">
        <v>541</v>
      </c>
      <c r="F263" s="532"/>
      <c r="G263" s="1032">
        <f>'3.3 перв.'!O16</f>
        <v>8526</v>
      </c>
      <c r="H263" s="536">
        <f t="shared" si="9"/>
        <v>8526</v>
      </c>
    </row>
    <row r="264" spans="2:8" s="338" customFormat="1" ht="20.25" customHeight="1">
      <c r="B264" s="1031">
        <v>14</v>
      </c>
      <c r="C264" s="264" t="s">
        <v>752</v>
      </c>
      <c r="D264" s="532" t="s">
        <v>1634</v>
      </c>
      <c r="E264" s="245" t="s">
        <v>541</v>
      </c>
      <c r="F264" s="407"/>
      <c r="G264" s="1032">
        <f>'3.4 спорт.гор'!O11</f>
        <v>7270</v>
      </c>
      <c r="H264" s="536">
        <f t="shared" si="9"/>
        <v>7270</v>
      </c>
    </row>
    <row r="265" spans="2:8" s="338" customFormat="1" ht="18.75" customHeight="1">
      <c r="B265" s="1031">
        <v>16</v>
      </c>
      <c r="C265" s="264" t="s">
        <v>1732</v>
      </c>
      <c r="D265" s="532" t="s">
        <v>1634</v>
      </c>
      <c r="E265" s="245" t="s">
        <v>541</v>
      </c>
      <c r="F265" s="407"/>
      <c r="G265" s="1032">
        <f>'3.4 спорт.гор'!O13</f>
        <v>3500</v>
      </c>
      <c r="H265" s="536">
        <f t="shared" si="9"/>
        <v>3500</v>
      </c>
    </row>
    <row r="266" spans="2:8" s="338" customFormat="1" ht="17.25" customHeight="1">
      <c r="B266" s="1031">
        <v>19</v>
      </c>
      <c r="C266" s="245" t="s">
        <v>1849</v>
      </c>
      <c r="D266" s="532" t="s">
        <v>1634</v>
      </c>
      <c r="E266" s="245" t="s">
        <v>541</v>
      </c>
      <c r="F266" s="407"/>
      <c r="G266" s="1032">
        <f>'3.4 спорт.гор'!O14</f>
        <v>11886</v>
      </c>
      <c r="H266" s="536">
        <f t="shared" si="9"/>
        <v>11886</v>
      </c>
    </row>
    <row r="267" spans="2:8" s="338" customFormat="1" ht="18" customHeight="1">
      <c r="B267" s="1031">
        <v>37</v>
      </c>
      <c r="C267" s="245" t="s">
        <v>1393</v>
      </c>
      <c r="D267" s="532" t="s">
        <v>1635</v>
      </c>
      <c r="E267" s="245" t="s">
        <v>541</v>
      </c>
      <c r="F267" s="407"/>
      <c r="G267" s="1032">
        <f>'3.4 спорт.гор'!O17</f>
        <v>4387</v>
      </c>
      <c r="H267" s="536">
        <f>G267</f>
        <v>4387</v>
      </c>
    </row>
    <row r="268" spans="2:8" s="338" customFormat="1" ht="21.75" customHeight="1">
      <c r="B268" s="1031">
        <v>57</v>
      </c>
      <c r="C268" s="264" t="s">
        <v>1911</v>
      </c>
      <c r="D268" s="532" t="s">
        <v>1636</v>
      </c>
      <c r="E268" s="245" t="s">
        <v>541</v>
      </c>
      <c r="F268" s="407"/>
      <c r="G268" s="1032">
        <f>'3.4 спорт.гор'!O20</f>
        <v>14184</v>
      </c>
      <c r="H268" s="536">
        <f>G268</f>
        <v>14184</v>
      </c>
    </row>
    <row r="269" spans="2:8" s="338" customFormat="1" ht="20.25" customHeight="1">
      <c r="B269" s="1031">
        <v>63</v>
      </c>
      <c r="C269" s="264" t="s">
        <v>1887</v>
      </c>
      <c r="D269" s="532" t="s">
        <v>1636</v>
      </c>
      <c r="E269" s="245" t="s">
        <v>541</v>
      </c>
      <c r="F269" s="407"/>
      <c r="G269" s="1032">
        <f>'3.4 спорт.гор'!O23</f>
        <v>16923</v>
      </c>
      <c r="H269" s="536">
        <f>G269</f>
        <v>16923</v>
      </c>
    </row>
    <row r="270" spans="2:8" s="338" customFormat="1" ht="18" customHeight="1">
      <c r="B270" s="1031">
        <v>64</v>
      </c>
      <c r="C270" s="245" t="s">
        <v>1010</v>
      </c>
      <c r="D270" s="532" t="s">
        <v>1636</v>
      </c>
      <c r="E270" s="245" t="s">
        <v>541</v>
      </c>
      <c r="F270" s="407"/>
      <c r="G270" s="1032">
        <f>'3.4 спорт.гор'!O25</f>
        <v>14071</v>
      </c>
      <c r="H270" s="536">
        <f>G270</f>
        <v>14071</v>
      </c>
    </row>
    <row r="271" spans="2:8" s="338" customFormat="1" ht="18" customHeight="1">
      <c r="B271" s="1031">
        <v>65</v>
      </c>
      <c r="C271" s="245" t="s">
        <v>1888</v>
      </c>
      <c r="D271" s="532" t="s">
        <v>1636</v>
      </c>
      <c r="E271" s="245" t="s">
        <v>541</v>
      </c>
      <c r="F271" s="407"/>
      <c r="G271" s="1032">
        <f>'3.4 спорт.гор'!O26</f>
        <v>2619</v>
      </c>
      <c r="H271" s="536">
        <f>G271</f>
        <v>2619</v>
      </c>
    </row>
    <row r="272" spans="2:8" s="1317" customFormat="1" ht="27" customHeight="1">
      <c r="B272" s="1985" t="s">
        <v>1285</v>
      </c>
      <c r="C272" s="1986"/>
      <c r="D272" s="1986"/>
      <c r="E272" s="1986"/>
      <c r="F272" s="1986"/>
      <c r="G272" s="1318">
        <f>SUM(G273,G386)</f>
        <v>2188284</v>
      </c>
      <c r="H272" s="1319">
        <f>SUM(H273,H386)</f>
        <v>2188284</v>
      </c>
    </row>
    <row r="273" spans="1:8" s="1513" customFormat="1" ht="19.5" customHeight="1">
      <c r="A273" s="1513">
        <v>129</v>
      </c>
      <c r="B273" s="1998" t="s">
        <v>544</v>
      </c>
      <c r="C273" s="1999"/>
      <c r="D273" s="1999"/>
      <c r="E273" s="1999"/>
      <c r="F273" s="1999"/>
      <c r="G273" s="1516">
        <f>ROUNDUP(SUM(G274:G385),0)</f>
        <v>2153064</v>
      </c>
      <c r="H273" s="1517">
        <f>ROUNDUP(SUM(H274:H385),0)</f>
        <v>2153064</v>
      </c>
    </row>
    <row r="274" spans="2:8" s="338" customFormat="1" ht="25.5" customHeight="1">
      <c r="B274" s="1031">
        <v>1</v>
      </c>
      <c r="C274" s="406" t="s">
        <v>1292</v>
      </c>
      <c r="D274" s="532" t="s">
        <v>1889</v>
      </c>
      <c r="E274" s="245" t="s">
        <v>541</v>
      </c>
      <c r="F274" s="245"/>
      <c r="G274" s="1032">
        <f>'4.1 спорт выезд'!Q10</f>
        <v>16880</v>
      </c>
      <c r="H274" s="536">
        <f aca="true" t="shared" si="10" ref="H274:H363">G274</f>
        <v>16880</v>
      </c>
    </row>
    <row r="275" spans="2:8" s="338" customFormat="1" ht="27.75" customHeight="1">
      <c r="B275" s="1031">
        <v>2</v>
      </c>
      <c r="C275" s="439" t="str">
        <f>'4.1 спорт выезд'!B13</f>
        <v>Спорт.гимн. конференция г.Москва</v>
      </c>
      <c r="D275" s="532" t="s">
        <v>1889</v>
      </c>
      <c r="E275" s="245" t="s">
        <v>541</v>
      </c>
      <c r="F275" s="1990"/>
      <c r="G275" s="1032">
        <f>'4.1 спорт выезд'!Q13</f>
        <v>12800</v>
      </c>
      <c r="H275" s="536">
        <f t="shared" si="10"/>
        <v>12800</v>
      </c>
    </row>
    <row r="276" spans="2:8" s="338" customFormat="1" ht="17.25" customHeight="1">
      <c r="B276" s="1031">
        <v>3</v>
      </c>
      <c r="C276" s="439" t="s">
        <v>1850</v>
      </c>
      <c r="D276" s="532" t="s">
        <v>1889</v>
      </c>
      <c r="E276" s="245" t="s">
        <v>541</v>
      </c>
      <c r="F276" s="1990"/>
      <c r="G276" s="1032">
        <f>'4.1 спорт выезд'!Q14</f>
        <v>24600</v>
      </c>
      <c r="H276" s="536">
        <f t="shared" si="10"/>
        <v>24600</v>
      </c>
    </row>
    <row r="277" spans="2:8" s="338" customFormat="1" ht="17.25" customHeight="1">
      <c r="B277" s="1031">
        <v>4</v>
      </c>
      <c r="C277" s="439" t="str">
        <f>'4.1 спорт выезд'!B17</f>
        <v>Л/а. Соревнования Русская зима. Москва</v>
      </c>
      <c r="D277" s="532" t="s">
        <v>1889</v>
      </c>
      <c r="E277" s="245" t="s">
        <v>541</v>
      </c>
      <c r="F277" s="1990"/>
      <c r="G277" s="1032">
        <f>'4.1 спорт выезд'!Q17</f>
        <v>2730</v>
      </c>
      <c r="H277" s="536">
        <f t="shared" si="10"/>
        <v>2730</v>
      </c>
    </row>
    <row r="278" spans="2:8" s="338" customFormat="1" ht="23.25" customHeight="1">
      <c r="B278" s="1031">
        <v>5</v>
      </c>
      <c r="C278" s="406" t="s">
        <v>711</v>
      </c>
      <c r="D278" s="532" t="s">
        <v>1889</v>
      </c>
      <c r="E278" s="245" t="s">
        <v>541</v>
      </c>
      <c r="F278" s="1990"/>
      <c r="G278" s="1032">
        <f>'4.1 спорт выезд'!Q18</f>
        <v>7840</v>
      </c>
      <c r="H278" s="536">
        <f t="shared" si="10"/>
        <v>7840</v>
      </c>
    </row>
    <row r="279" spans="2:8" s="338" customFormat="1" ht="19.5" customHeight="1">
      <c r="B279" s="1031">
        <v>6</v>
      </c>
      <c r="C279" s="406" t="s">
        <v>1307</v>
      </c>
      <c r="D279" s="532" t="s">
        <v>1889</v>
      </c>
      <c r="E279" s="245" t="s">
        <v>541</v>
      </c>
      <c r="F279" s="1043"/>
      <c r="G279" s="1032">
        <f>'4.1 спорт выезд'!Q20</f>
        <v>8760</v>
      </c>
      <c r="H279" s="536">
        <f t="shared" si="10"/>
        <v>8760</v>
      </c>
    </row>
    <row r="280" spans="2:8" s="338" customFormat="1" ht="19.5" customHeight="1">
      <c r="B280" s="1031">
        <v>7</v>
      </c>
      <c r="C280" s="406" t="s">
        <v>1308</v>
      </c>
      <c r="D280" s="532" t="s">
        <v>1889</v>
      </c>
      <c r="E280" s="245" t="s">
        <v>541</v>
      </c>
      <c r="F280" s="1043"/>
      <c r="G280" s="1032">
        <f>'4.1 спорт выезд'!Q22</f>
        <v>2580</v>
      </c>
      <c r="H280" s="536">
        <f t="shared" si="10"/>
        <v>2580</v>
      </c>
    </row>
    <row r="281" spans="2:8" s="338" customFormat="1" ht="18" customHeight="1">
      <c r="B281" s="1031">
        <v>8</v>
      </c>
      <c r="C281" s="406" t="s">
        <v>461</v>
      </c>
      <c r="D281" s="532" t="s">
        <v>1889</v>
      </c>
      <c r="E281" s="245" t="s">
        <v>541</v>
      </c>
      <c r="F281" s="245"/>
      <c r="G281" s="1032">
        <f>'4.1 спорт выезд'!Q24</f>
        <v>49548</v>
      </c>
      <c r="H281" s="536">
        <f t="shared" si="10"/>
        <v>49548</v>
      </c>
    </row>
    <row r="282" spans="2:8" s="338" customFormat="1" ht="24" customHeight="1">
      <c r="B282" s="1031">
        <v>9</v>
      </c>
      <c r="C282" s="406" t="str">
        <f>'4.1 спорт выезд'!B28</f>
        <v>Б/дзюдо.УТС к первенству РФ Минусинск</v>
      </c>
      <c r="D282" s="532" t="s">
        <v>1889</v>
      </c>
      <c r="E282" s="245" t="s">
        <v>541</v>
      </c>
      <c r="F282" s="1043"/>
      <c r="G282" s="1032">
        <f>'4.1 спорт выезд'!Q28</f>
        <v>14820</v>
      </c>
      <c r="H282" s="536">
        <f t="shared" si="10"/>
        <v>14820</v>
      </c>
    </row>
    <row r="283" spans="2:8" s="338" customFormat="1" ht="23.25" customHeight="1">
      <c r="B283" s="1031">
        <v>10</v>
      </c>
      <c r="C283" s="406" t="s">
        <v>918</v>
      </c>
      <c r="D283" s="532" t="s">
        <v>1889</v>
      </c>
      <c r="E283" s="245" t="s">
        <v>541</v>
      </c>
      <c r="F283" s="1043"/>
      <c r="G283" s="1032">
        <f>'4.1 спорт выезд'!Q29</f>
        <v>15480</v>
      </c>
      <c r="H283" s="536">
        <f t="shared" si="10"/>
        <v>15480</v>
      </c>
    </row>
    <row r="284" spans="2:8" s="338" customFormat="1" ht="22.5" customHeight="1">
      <c r="B284" s="1031">
        <v>11</v>
      </c>
      <c r="C284" s="406" t="s">
        <v>274</v>
      </c>
      <c r="D284" s="532" t="s">
        <v>1889</v>
      </c>
      <c r="E284" s="245" t="s">
        <v>541</v>
      </c>
      <c r="F284" s="1631"/>
      <c r="G284" s="1032">
        <f>'4.1 спорт выезд'!Q30</f>
        <v>9880</v>
      </c>
      <c r="H284" s="536">
        <f t="shared" si="10"/>
        <v>9880</v>
      </c>
    </row>
    <row r="285" spans="2:8" s="338" customFormat="1" ht="24.75" customHeight="1">
      <c r="B285" s="1031">
        <v>12</v>
      </c>
      <c r="C285" s="406" t="s">
        <v>275</v>
      </c>
      <c r="D285" s="532" t="s">
        <v>1889</v>
      </c>
      <c r="E285" s="245" t="s">
        <v>541</v>
      </c>
      <c r="F285" s="1631"/>
      <c r="G285" s="1032">
        <f>'4.1 спорт выезд'!Q109</f>
        <v>33000</v>
      </c>
      <c r="H285" s="536">
        <f t="shared" si="10"/>
        <v>33000</v>
      </c>
    </row>
    <row r="286" spans="2:8" s="338" customFormat="1" ht="18.75" customHeight="1">
      <c r="B286" s="1031">
        <v>13</v>
      </c>
      <c r="C286" s="543" t="str">
        <f>'4.1 спорт выезд'!B32</f>
        <v>Л/а.УТС Кисловодск</v>
      </c>
      <c r="D286" s="532" t="s">
        <v>1889</v>
      </c>
      <c r="E286" s="245" t="s">
        <v>541</v>
      </c>
      <c r="F286" s="1631"/>
      <c r="G286" s="1032">
        <f>'4.1 спорт выезд'!Q32</f>
        <v>19040</v>
      </c>
      <c r="H286" s="536">
        <f t="shared" si="10"/>
        <v>19040</v>
      </c>
    </row>
    <row r="287" spans="2:8" s="338" customFormat="1" ht="18.75" customHeight="1">
      <c r="B287" s="1031">
        <v>14</v>
      </c>
      <c r="C287" s="438" t="s">
        <v>1405</v>
      </c>
      <c r="D287" s="532" t="s">
        <v>1889</v>
      </c>
      <c r="E287" s="245" t="s">
        <v>541</v>
      </c>
      <c r="F287" s="1631"/>
      <c r="G287" s="1032">
        <f>'4.1 спорт выезд'!Q34</f>
        <v>24480</v>
      </c>
      <c r="H287" s="536">
        <f t="shared" si="10"/>
        <v>24480</v>
      </c>
    </row>
    <row r="288" spans="2:8" s="338" customFormat="1" ht="22.5" customHeight="1">
      <c r="B288" s="1031">
        <v>15</v>
      </c>
      <c r="C288" s="406" t="s">
        <v>276</v>
      </c>
      <c r="D288" s="532" t="s">
        <v>1889</v>
      </c>
      <c r="E288" s="245" t="s">
        <v>541</v>
      </c>
      <c r="F288" s="1631"/>
      <c r="G288" s="1032">
        <f>'4.1 спорт выезд'!Q36</f>
        <v>7536</v>
      </c>
      <c r="H288" s="536">
        <f t="shared" si="10"/>
        <v>7536</v>
      </c>
    </row>
    <row r="289" spans="2:8" s="338" customFormat="1" ht="18.75" customHeight="1">
      <c r="B289" s="1031">
        <v>16</v>
      </c>
      <c r="C289" s="406" t="s">
        <v>50</v>
      </c>
      <c r="D289" s="532" t="s">
        <v>1889</v>
      </c>
      <c r="E289" s="245" t="s">
        <v>541</v>
      </c>
      <c r="F289" s="1043"/>
      <c r="G289" s="1032">
        <f>'4.1 спорт выезд'!Q37</f>
        <v>12120</v>
      </c>
      <c r="H289" s="536">
        <f t="shared" si="10"/>
        <v>12120</v>
      </c>
    </row>
    <row r="290" spans="2:8" s="338" customFormat="1" ht="24.75" customHeight="1">
      <c r="B290" s="1031">
        <v>18</v>
      </c>
      <c r="C290" s="406" t="str">
        <f>'4.1 спорт выезд'!B49</f>
        <v>Б/гр.римск. Всероссийский турнир г.Омск</v>
      </c>
      <c r="D290" s="532" t="s">
        <v>1889</v>
      </c>
      <c r="E290" s="245" t="s">
        <v>541</v>
      </c>
      <c r="F290" s="264"/>
      <c r="G290" s="1032">
        <f>'4.1 спорт выезд'!Q49</f>
        <v>7000</v>
      </c>
      <c r="H290" s="536">
        <f t="shared" si="10"/>
        <v>7000</v>
      </c>
    </row>
    <row r="291" spans="2:8" s="338" customFormat="1" ht="24.75" customHeight="1">
      <c r="B291" s="1031">
        <v>19</v>
      </c>
      <c r="C291" s="401" t="s">
        <v>127</v>
      </c>
      <c r="D291" s="532" t="s">
        <v>1889</v>
      </c>
      <c r="E291" s="245" t="s">
        <v>541</v>
      </c>
      <c r="F291" s="264"/>
      <c r="G291" s="1032">
        <f>'4.1 спорт выезд'!Q41</f>
        <v>4875</v>
      </c>
      <c r="H291" s="536">
        <f t="shared" si="10"/>
        <v>4875</v>
      </c>
    </row>
    <row r="292" spans="2:8" s="338" customFormat="1" ht="21.75" customHeight="1">
      <c r="B292" s="1031">
        <v>20</v>
      </c>
      <c r="C292" s="406" t="s">
        <v>164</v>
      </c>
      <c r="D292" s="532" t="s">
        <v>1889</v>
      </c>
      <c r="E292" s="245" t="s">
        <v>541</v>
      </c>
      <c r="F292" s="264"/>
      <c r="G292" s="1032">
        <f>'4.1 спорт выезд'!Q43</f>
        <v>18960</v>
      </c>
      <c r="H292" s="536">
        <f t="shared" si="10"/>
        <v>18960</v>
      </c>
    </row>
    <row r="293" spans="2:8" s="338" customFormat="1" ht="23.25" customHeight="1">
      <c r="B293" s="1031">
        <v>21</v>
      </c>
      <c r="C293" s="1050" t="s">
        <v>160</v>
      </c>
      <c r="D293" s="532" t="s">
        <v>1889</v>
      </c>
      <c r="E293" s="245" t="s">
        <v>541</v>
      </c>
      <c r="F293" s="264"/>
      <c r="G293" s="1032">
        <f>'4.1 спорт выезд'!Q63</f>
        <v>55320</v>
      </c>
      <c r="H293" s="536">
        <f t="shared" si="10"/>
        <v>55320</v>
      </c>
    </row>
    <row r="294" spans="2:8" s="338" customFormat="1" ht="18.75" customHeight="1">
      <c r="B294" s="1031">
        <v>22</v>
      </c>
      <c r="C294" s="406" t="s">
        <v>52</v>
      </c>
      <c r="D294" s="532" t="s">
        <v>1889</v>
      </c>
      <c r="E294" s="245" t="s">
        <v>541</v>
      </c>
      <c r="F294" s="264"/>
      <c r="G294" s="1032">
        <f>'4.1 спорт выезд'!Q44</f>
        <v>32900</v>
      </c>
      <c r="H294" s="536">
        <f t="shared" si="10"/>
        <v>32900</v>
      </c>
    </row>
    <row r="295" spans="2:8" s="338" customFormat="1" ht="19.5" customHeight="1">
      <c r="B295" s="1031">
        <v>23</v>
      </c>
      <c r="C295" s="406" t="s">
        <v>788</v>
      </c>
      <c r="D295" s="532" t="s">
        <v>1889</v>
      </c>
      <c r="E295" s="245" t="s">
        <v>541</v>
      </c>
      <c r="F295" s="264"/>
      <c r="G295" s="1032">
        <f>'4.1 спорт выезд'!Q113</f>
        <v>12240</v>
      </c>
      <c r="H295" s="536">
        <f t="shared" si="10"/>
        <v>12240</v>
      </c>
    </row>
    <row r="296" spans="2:8" s="338" customFormat="1" ht="19.5" customHeight="1">
      <c r="B296" s="1031">
        <v>24</v>
      </c>
      <c r="C296" s="406" t="str">
        <f>'4.1 спорт выезд'!B47</f>
        <v>Б/гр-римск. Междугор. Турнир г.Новокузнецк</v>
      </c>
      <c r="D296" s="532" t="s">
        <v>1634</v>
      </c>
      <c r="E296" s="245" t="s">
        <v>541</v>
      </c>
      <c r="F296" s="264"/>
      <c r="G296" s="1032">
        <f>'4.1 спорт выезд'!Q47</f>
        <v>11000</v>
      </c>
      <c r="H296" s="536">
        <f t="shared" si="10"/>
        <v>11000</v>
      </c>
    </row>
    <row r="297" spans="2:8" s="338" customFormat="1" ht="19.5" customHeight="1">
      <c r="B297" s="1031">
        <v>25</v>
      </c>
      <c r="C297" s="406" t="s">
        <v>261</v>
      </c>
      <c r="D297" s="532" t="s">
        <v>1634</v>
      </c>
      <c r="E297" s="245" t="s">
        <v>541</v>
      </c>
      <c r="F297" s="264"/>
      <c r="G297" s="1032">
        <f>'4.1 спорт выезд'!Q50</f>
        <v>5600</v>
      </c>
      <c r="H297" s="536">
        <f t="shared" si="10"/>
        <v>5600</v>
      </c>
    </row>
    <row r="298" spans="2:8" s="338" customFormat="1" ht="19.5" customHeight="1">
      <c r="B298" s="1031">
        <v>26</v>
      </c>
      <c r="C298" s="406" t="s">
        <v>262</v>
      </c>
      <c r="D298" s="532" t="s">
        <v>1634</v>
      </c>
      <c r="E298" s="245" t="s">
        <v>541</v>
      </c>
      <c r="F298" s="264"/>
      <c r="G298" s="1032">
        <f>'4.1 спорт выезд'!Q51</f>
        <v>23200</v>
      </c>
      <c r="H298" s="536">
        <f t="shared" si="10"/>
        <v>23200</v>
      </c>
    </row>
    <row r="299" spans="2:8" s="338" customFormat="1" ht="19.5" customHeight="1">
      <c r="B299" s="1031">
        <v>27</v>
      </c>
      <c r="C299" s="406" t="s">
        <v>891</v>
      </c>
      <c r="D299" s="532" t="s">
        <v>1634</v>
      </c>
      <c r="E299" s="245" t="s">
        <v>541</v>
      </c>
      <c r="F299" s="1043"/>
      <c r="G299" s="1032">
        <f>'4.1 спорт выезд'!Q52</f>
        <v>11300</v>
      </c>
      <c r="H299" s="536">
        <f t="shared" si="10"/>
        <v>11300</v>
      </c>
    </row>
    <row r="300" spans="2:8" s="338" customFormat="1" ht="19.5" customHeight="1">
      <c r="B300" s="1031">
        <v>28</v>
      </c>
      <c r="C300" s="406" t="s">
        <v>1618</v>
      </c>
      <c r="D300" s="532" t="s">
        <v>1634</v>
      </c>
      <c r="E300" s="245" t="s">
        <v>541</v>
      </c>
      <c r="F300" s="1043"/>
      <c r="G300" s="1032">
        <f>'4.1 спорт выезд'!Q53</f>
        <v>14280</v>
      </c>
      <c r="H300" s="536">
        <f t="shared" si="10"/>
        <v>14280</v>
      </c>
    </row>
    <row r="301" spans="2:8" s="338" customFormat="1" ht="19.5" customHeight="1">
      <c r="B301" s="1031">
        <v>29</v>
      </c>
      <c r="C301" s="401" t="s">
        <v>143</v>
      </c>
      <c r="D301" s="532" t="s">
        <v>1634</v>
      </c>
      <c r="E301" s="245" t="s">
        <v>541</v>
      </c>
      <c r="F301" s="1043"/>
      <c r="G301" s="1032">
        <f>'4.1 спорт выезд'!Q55</f>
        <v>3000</v>
      </c>
      <c r="H301" s="536">
        <f t="shared" si="10"/>
        <v>3000</v>
      </c>
    </row>
    <row r="302" spans="2:8" s="338" customFormat="1" ht="20.25" customHeight="1">
      <c r="B302" s="1031">
        <v>30</v>
      </c>
      <c r="C302" s="406" t="s">
        <v>1508</v>
      </c>
      <c r="D302" s="532" t="s">
        <v>1634</v>
      </c>
      <c r="E302" s="245" t="s">
        <v>541</v>
      </c>
      <c r="F302" s="1043"/>
      <c r="G302" s="1032">
        <f>'4.1 спорт выезд'!Q56</f>
        <v>81930</v>
      </c>
      <c r="H302" s="536">
        <f t="shared" si="10"/>
        <v>81930</v>
      </c>
    </row>
    <row r="303" spans="2:8" s="338" customFormat="1" ht="18" customHeight="1">
      <c r="B303" s="1031">
        <v>31</v>
      </c>
      <c r="C303" s="406" t="s">
        <v>1380</v>
      </c>
      <c r="D303" s="532" t="s">
        <v>1634</v>
      </c>
      <c r="E303" s="245" t="s">
        <v>541</v>
      </c>
      <c r="F303" s="1043"/>
      <c r="G303" s="1032">
        <f>'4.1 спорт выезд'!Q58</f>
        <v>9840</v>
      </c>
      <c r="H303" s="536">
        <f t="shared" si="10"/>
        <v>9840</v>
      </c>
    </row>
    <row r="304" spans="2:8" s="338" customFormat="1" ht="18.75" customHeight="1">
      <c r="B304" s="1031">
        <v>32</v>
      </c>
      <c r="C304" s="406" t="s">
        <v>1585</v>
      </c>
      <c r="D304" s="532" t="s">
        <v>1634</v>
      </c>
      <c r="E304" s="245" t="s">
        <v>541</v>
      </c>
      <c r="F304" s="1043"/>
      <c r="G304" s="1032">
        <f>'4.1 спорт выезд'!Q59</f>
        <v>5900</v>
      </c>
      <c r="H304" s="536">
        <f t="shared" si="10"/>
        <v>5900</v>
      </c>
    </row>
    <row r="305" spans="2:8" s="338" customFormat="1" ht="18" customHeight="1">
      <c r="B305" s="1031">
        <v>33</v>
      </c>
      <c r="C305" s="401" t="s">
        <v>1180</v>
      </c>
      <c r="D305" s="532" t="s">
        <v>1634</v>
      </c>
      <c r="E305" s="245" t="s">
        <v>541</v>
      </c>
      <c r="F305" s="407"/>
      <c r="G305" s="1032">
        <f>'4.1 спорт выезд'!Q62</f>
        <v>4000</v>
      </c>
      <c r="H305" s="536">
        <f t="shared" si="10"/>
        <v>4000</v>
      </c>
    </row>
    <row r="306" spans="2:8" s="338" customFormat="1" ht="16.5" customHeight="1">
      <c r="B306" s="1031">
        <v>34</v>
      </c>
      <c r="C306" s="406" t="s">
        <v>1290</v>
      </c>
      <c r="D306" s="532" t="s">
        <v>1634</v>
      </c>
      <c r="E306" s="245" t="s">
        <v>541</v>
      </c>
      <c r="F306" s="1989" t="s">
        <v>791</v>
      </c>
      <c r="G306" s="1032">
        <f>'4.1 спорт выезд'!Q65</f>
        <v>23160</v>
      </c>
      <c r="H306" s="536">
        <f t="shared" si="10"/>
        <v>23160</v>
      </c>
    </row>
    <row r="307" spans="2:8" s="338" customFormat="1" ht="16.5" customHeight="1">
      <c r="B307" s="1031">
        <v>35</v>
      </c>
      <c r="C307" s="406" t="s">
        <v>869</v>
      </c>
      <c r="D307" s="532" t="s">
        <v>1634</v>
      </c>
      <c r="E307" s="245" t="s">
        <v>541</v>
      </c>
      <c r="F307" s="1990"/>
      <c r="G307" s="1032">
        <f>'4.1 спорт выезд'!Q69</f>
        <v>143840</v>
      </c>
      <c r="H307" s="536">
        <f t="shared" si="10"/>
        <v>143840</v>
      </c>
    </row>
    <row r="308" spans="2:8" s="338" customFormat="1" ht="22.5" customHeight="1">
      <c r="B308" s="1031">
        <v>37</v>
      </c>
      <c r="C308" s="406" t="s">
        <v>211</v>
      </c>
      <c r="D308" s="532" t="s">
        <v>1634</v>
      </c>
      <c r="E308" s="245" t="s">
        <v>541</v>
      </c>
      <c r="F308" s="1990"/>
      <c r="G308" s="1032">
        <f>'4.1 спорт выезд'!Q72</f>
        <v>28000</v>
      </c>
      <c r="H308" s="536">
        <f t="shared" si="10"/>
        <v>28000</v>
      </c>
    </row>
    <row r="309" spans="2:8" s="338" customFormat="1" ht="17.25" customHeight="1">
      <c r="B309" s="1031">
        <v>38</v>
      </c>
      <c r="C309" s="406" t="s">
        <v>155</v>
      </c>
      <c r="D309" s="532" t="s">
        <v>1634</v>
      </c>
      <c r="E309" s="245" t="s">
        <v>541</v>
      </c>
      <c r="F309" s="1990"/>
      <c r="G309" s="1032">
        <f>'4.1 спорт выезд'!Q74</f>
        <v>3000</v>
      </c>
      <c r="H309" s="536">
        <f t="shared" si="10"/>
        <v>3000</v>
      </c>
    </row>
    <row r="310" spans="2:8" s="338" customFormat="1" ht="18" customHeight="1">
      <c r="B310" s="1031">
        <v>39</v>
      </c>
      <c r="C310" s="406" t="s">
        <v>1741</v>
      </c>
      <c r="D310" s="532" t="s">
        <v>1634</v>
      </c>
      <c r="E310" s="245" t="s">
        <v>541</v>
      </c>
      <c r="F310" s="1990"/>
      <c r="G310" s="1032">
        <f>'4.1 спорт выезд'!Q75</f>
        <v>7680</v>
      </c>
      <c r="H310" s="536">
        <f t="shared" si="10"/>
        <v>7680</v>
      </c>
    </row>
    <row r="311" spans="2:8" s="338" customFormat="1" ht="28.5" customHeight="1">
      <c r="B311" s="1031">
        <v>40</v>
      </c>
      <c r="C311" s="438" t="s">
        <v>454</v>
      </c>
      <c r="D311" s="532" t="s">
        <v>1634</v>
      </c>
      <c r="E311" s="245" t="s">
        <v>541</v>
      </c>
      <c r="F311" s="1990"/>
      <c r="G311" s="1032">
        <f>'4.1 спорт выезд'!Q77</f>
        <v>40500</v>
      </c>
      <c r="H311" s="536">
        <f aca="true" t="shared" si="11" ref="H311:H317">G311</f>
        <v>40500</v>
      </c>
    </row>
    <row r="312" spans="2:8" s="338" customFormat="1" ht="18" customHeight="1">
      <c r="B312" s="1031">
        <v>41</v>
      </c>
      <c r="C312" s="406" t="s">
        <v>1509</v>
      </c>
      <c r="D312" s="532" t="s">
        <v>1634</v>
      </c>
      <c r="E312" s="245" t="s">
        <v>541</v>
      </c>
      <c r="F312" s="1990"/>
      <c r="G312" s="1032">
        <f>'4.1 спорт выезд'!Q79</f>
        <v>4000</v>
      </c>
      <c r="H312" s="536">
        <f t="shared" si="11"/>
        <v>4000</v>
      </c>
    </row>
    <row r="313" spans="2:8" s="338" customFormat="1" ht="18" customHeight="1">
      <c r="B313" s="1031">
        <v>42</v>
      </c>
      <c r="C313" s="438" t="s">
        <v>1510</v>
      </c>
      <c r="D313" s="532" t="s">
        <v>1634</v>
      </c>
      <c r="E313" s="245" t="s">
        <v>541</v>
      </c>
      <c r="F313" s="1990"/>
      <c r="G313" s="1033">
        <f>'4.1 спорт выезд'!Q80</f>
        <v>4000</v>
      </c>
      <c r="H313" s="536">
        <f t="shared" si="11"/>
        <v>4000</v>
      </c>
    </row>
    <row r="314" spans="2:8" s="338" customFormat="1" ht="25.5" customHeight="1">
      <c r="B314" s="1031">
        <v>43</v>
      </c>
      <c r="C314" s="406" t="s">
        <v>1114</v>
      </c>
      <c r="D314" s="532" t="s">
        <v>1634</v>
      </c>
      <c r="E314" s="245" t="s">
        <v>541</v>
      </c>
      <c r="F314" s="1990"/>
      <c r="G314" s="1032">
        <f>'4.1 спорт выезд'!$Q$81</f>
        <v>42080</v>
      </c>
      <c r="H314" s="536">
        <f t="shared" si="11"/>
        <v>42080</v>
      </c>
    </row>
    <row r="315" spans="2:8" s="338" customFormat="1" ht="26.25" customHeight="1">
      <c r="B315" s="1031">
        <v>44</v>
      </c>
      <c r="C315" s="406" t="s">
        <v>1511</v>
      </c>
      <c r="D315" s="532" t="s">
        <v>1634</v>
      </c>
      <c r="E315" s="245" t="s">
        <v>541</v>
      </c>
      <c r="F315" s="1990"/>
      <c r="G315" s="1032">
        <f>'4.1 спорт выезд'!$Q$83</f>
        <v>28780</v>
      </c>
      <c r="H315" s="536">
        <f t="shared" si="11"/>
        <v>28780</v>
      </c>
    </row>
    <row r="316" spans="2:8" s="338" customFormat="1" ht="25.5" customHeight="1">
      <c r="B316" s="1031">
        <v>45</v>
      </c>
      <c r="C316" s="406" t="s">
        <v>54</v>
      </c>
      <c r="D316" s="532" t="s">
        <v>1634</v>
      </c>
      <c r="E316" s="245" t="s">
        <v>541</v>
      </c>
      <c r="F316" s="1990"/>
      <c r="G316" s="1032">
        <f>'4.1 спорт выезд'!Q85</f>
        <v>11400</v>
      </c>
      <c r="H316" s="536">
        <f t="shared" si="11"/>
        <v>11400</v>
      </c>
    </row>
    <row r="317" spans="2:8" s="338" customFormat="1" ht="25.5" customHeight="1">
      <c r="B317" s="1031">
        <v>46</v>
      </c>
      <c r="C317" s="406" t="s">
        <v>53</v>
      </c>
      <c r="D317" s="532" t="s">
        <v>1634</v>
      </c>
      <c r="E317" s="245" t="s">
        <v>541</v>
      </c>
      <c r="F317" s="1991"/>
      <c r="G317" s="1032">
        <f>'4.1 спорт выезд'!Q87</f>
        <v>4900</v>
      </c>
      <c r="H317" s="536">
        <f t="shared" si="11"/>
        <v>4900</v>
      </c>
    </row>
    <row r="318" spans="2:8" s="338" customFormat="1" ht="20.25" customHeight="1">
      <c r="B318" s="1031">
        <v>48</v>
      </c>
      <c r="C318" s="406" t="s">
        <v>1115</v>
      </c>
      <c r="D318" s="532" t="s">
        <v>1634</v>
      </c>
      <c r="E318" s="245" t="s">
        <v>541</v>
      </c>
      <c r="F318" s="245"/>
      <c r="G318" s="1032">
        <f>'4.1 спорт выезд'!Q89</f>
        <v>21600</v>
      </c>
      <c r="H318" s="536">
        <f t="shared" si="10"/>
        <v>21600</v>
      </c>
    </row>
    <row r="319" spans="2:8" s="338" customFormat="1" ht="22.5" customHeight="1">
      <c r="B319" s="1031">
        <v>49</v>
      </c>
      <c r="C319" s="401" t="s">
        <v>757</v>
      </c>
      <c r="D319" s="532" t="s">
        <v>1634</v>
      </c>
      <c r="E319" s="245" t="s">
        <v>541</v>
      </c>
      <c r="F319" s="407"/>
      <c r="G319" s="1032">
        <f>'4.1 спорт выезд'!Q111</f>
        <v>62400</v>
      </c>
      <c r="H319" s="536">
        <f t="shared" si="10"/>
        <v>62400</v>
      </c>
    </row>
    <row r="320" spans="2:8" s="338" customFormat="1" ht="20.25" customHeight="1">
      <c r="B320" s="1031">
        <v>50</v>
      </c>
      <c r="C320" s="406" t="str">
        <f>'4.1 спорт выезд'!B60</f>
        <v>Спорт.гимн.Первенство РФ</v>
      </c>
      <c r="D320" s="532" t="s">
        <v>1634</v>
      </c>
      <c r="E320" s="245" t="s">
        <v>541</v>
      </c>
      <c r="F320" s="997"/>
      <c r="G320" s="1032">
        <f>'4.1 спорт выезд'!Q60</f>
        <v>14660</v>
      </c>
      <c r="H320" s="536">
        <f t="shared" si="10"/>
        <v>14660</v>
      </c>
    </row>
    <row r="321" spans="2:8" s="338" customFormat="1" ht="20.25" customHeight="1">
      <c r="B321" s="1031">
        <v>51</v>
      </c>
      <c r="C321" s="406" t="str">
        <f>'4.1 спорт выезд'!B92</f>
        <v> АТОМИАДА.  Финал.</v>
      </c>
      <c r="D321" s="532" t="s">
        <v>1634</v>
      </c>
      <c r="E321" s="245" t="s">
        <v>541</v>
      </c>
      <c r="F321" s="407"/>
      <c r="G321" s="1032">
        <f>'4.1 спорт выезд'!Q92</f>
        <v>72600</v>
      </c>
      <c r="H321" s="536">
        <f>G321</f>
        <v>72600</v>
      </c>
    </row>
    <row r="322" spans="2:8" s="338" customFormat="1" ht="22.5" customHeight="1">
      <c r="B322" s="1031">
        <v>52</v>
      </c>
      <c r="C322" s="406" t="s">
        <v>758</v>
      </c>
      <c r="D322" s="532" t="s">
        <v>1634</v>
      </c>
      <c r="E322" s="245" t="s">
        <v>541</v>
      </c>
      <c r="F322" s="407"/>
      <c r="G322" s="1032">
        <f>'4.1 спорт выезд'!Q94</f>
        <v>22600</v>
      </c>
      <c r="H322" s="536">
        <f t="shared" si="10"/>
        <v>22600</v>
      </c>
    </row>
    <row r="323" spans="2:8" s="338" customFormat="1" ht="23.25" customHeight="1">
      <c r="B323" s="1031">
        <v>53</v>
      </c>
      <c r="C323" s="406" t="s">
        <v>263</v>
      </c>
      <c r="D323" s="532" t="s">
        <v>1634</v>
      </c>
      <c r="E323" s="245" t="s">
        <v>541</v>
      </c>
      <c r="F323" s="264"/>
      <c r="G323" s="1032">
        <f>'4.1 спорт выезд'!Q96</f>
        <v>20300</v>
      </c>
      <c r="H323" s="536">
        <f t="shared" si="10"/>
        <v>20300</v>
      </c>
    </row>
    <row r="324" spans="2:8" s="338" customFormat="1" ht="24.75" customHeight="1">
      <c r="B324" s="1031">
        <v>54</v>
      </c>
      <c r="C324" s="406" t="s">
        <v>455</v>
      </c>
      <c r="D324" s="532" t="s">
        <v>1634</v>
      </c>
      <c r="E324" s="245" t="s">
        <v>541</v>
      </c>
      <c r="F324" s="264"/>
      <c r="G324" s="1032">
        <f>'4.1 спорт выезд'!Q98</f>
        <v>21040</v>
      </c>
      <c r="H324" s="536">
        <f>G324</f>
        <v>21040</v>
      </c>
    </row>
    <row r="325" spans="2:8" s="338" customFormat="1" ht="24.75" customHeight="1">
      <c r="B325" s="1031">
        <v>55</v>
      </c>
      <c r="C325" s="406" t="str">
        <f>'4.1 спорт выезд'!B100</f>
        <v>Б/Греко-римская. Чемпионат ЦСФСОП по назначению</v>
      </c>
      <c r="D325" s="532" t="s">
        <v>1634</v>
      </c>
      <c r="E325" s="245" t="s">
        <v>541</v>
      </c>
      <c r="F325" s="264"/>
      <c r="G325" s="1032">
        <f>'4.1 спорт выезд'!Q100</f>
        <v>17440</v>
      </c>
      <c r="H325" s="536">
        <f t="shared" si="10"/>
        <v>17440</v>
      </c>
    </row>
    <row r="326" spans="2:8" s="338" customFormat="1" ht="18.75" customHeight="1">
      <c r="B326" s="1031">
        <v>67</v>
      </c>
      <c r="C326" s="438" t="s">
        <v>1586</v>
      </c>
      <c r="D326" s="532" t="s">
        <v>1634</v>
      </c>
      <c r="E326" s="245" t="s">
        <v>541</v>
      </c>
      <c r="F326" s="236"/>
      <c r="G326" s="1032">
        <f>'4.1 спорт выезд'!Q102</f>
        <v>14520</v>
      </c>
      <c r="H326" s="536">
        <f t="shared" si="10"/>
        <v>14520</v>
      </c>
    </row>
    <row r="327" spans="2:8" s="338" customFormat="1" ht="21.75" customHeight="1">
      <c r="B327" s="1031">
        <v>68</v>
      </c>
      <c r="C327" s="406" t="s">
        <v>93</v>
      </c>
      <c r="D327" s="532" t="s">
        <v>1634</v>
      </c>
      <c r="E327" s="245" t="s">
        <v>541</v>
      </c>
      <c r="F327" s="1989" t="s">
        <v>791</v>
      </c>
      <c r="G327" s="1032">
        <f>'4.1 спорт выезд'!Q104</f>
        <v>41180</v>
      </c>
      <c r="H327" s="536">
        <f t="shared" si="10"/>
        <v>41180</v>
      </c>
    </row>
    <row r="328" spans="2:8" s="338" customFormat="1" ht="21" customHeight="1">
      <c r="B328" s="1031">
        <v>69</v>
      </c>
      <c r="C328" s="406" t="s">
        <v>1742</v>
      </c>
      <c r="D328" s="532" t="s">
        <v>1635</v>
      </c>
      <c r="E328" s="245" t="s">
        <v>541</v>
      </c>
      <c r="F328" s="1990"/>
      <c r="G328" s="1032">
        <f>'4.1 спорт выезд'!Q108</f>
        <v>4000</v>
      </c>
      <c r="H328" s="536">
        <f t="shared" si="10"/>
        <v>4000</v>
      </c>
    </row>
    <row r="329" spans="2:8" s="338" customFormat="1" ht="17.25" customHeight="1">
      <c r="B329" s="1031">
        <v>70</v>
      </c>
      <c r="C329" s="406" t="s">
        <v>1760</v>
      </c>
      <c r="D329" s="532" t="s">
        <v>1635</v>
      </c>
      <c r="E329" s="245" t="s">
        <v>541</v>
      </c>
      <c r="F329" s="1990"/>
      <c r="G329" s="1032">
        <f>'4.1 спорт выезд'!Q114</f>
        <v>9520</v>
      </c>
      <c r="H329" s="536">
        <f t="shared" si="10"/>
        <v>9520</v>
      </c>
    </row>
    <row r="330" spans="2:8" s="338" customFormat="1" ht="17.25" customHeight="1">
      <c r="B330" s="1031">
        <v>71</v>
      </c>
      <c r="C330" s="406" t="s">
        <v>868</v>
      </c>
      <c r="D330" s="532" t="s">
        <v>1635</v>
      </c>
      <c r="E330" s="245" t="s">
        <v>541</v>
      </c>
      <c r="F330" s="1990"/>
      <c r="G330" s="1032">
        <f>'4.1 спорт выезд'!Q116</f>
        <v>5600</v>
      </c>
      <c r="H330" s="536">
        <f t="shared" si="10"/>
        <v>5600</v>
      </c>
    </row>
    <row r="331" spans="2:8" s="338" customFormat="1" ht="18" customHeight="1">
      <c r="B331" s="1031">
        <v>72</v>
      </c>
      <c r="C331" s="401" t="s">
        <v>1204</v>
      </c>
      <c r="D331" s="532" t="s">
        <v>1635</v>
      </c>
      <c r="E331" s="245" t="s">
        <v>541</v>
      </c>
      <c r="F331" s="1990"/>
      <c r="G331" s="1032">
        <f>'4.1 спорт выезд'!Q120</f>
        <v>46500</v>
      </c>
      <c r="H331" s="536">
        <f t="shared" si="10"/>
        <v>46500</v>
      </c>
    </row>
    <row r="332" spans="2:8" s="338" customFormat="1" ht="19.5" customHeight="1">
      <c r="B332" s="1031">
        <v>73</v>
      </c>
      <c r="C332" s="406" t="s">
        <v>101</v>
      </c>
      <c r="D332" s="532" t="s">
        <v>1635</v>
      </c>
      <c r="E332" s="245" t="s">
        <v>541</v>
      </c>
      <c r="F332" s="1990"/>
      <c r="G332" s="1032">
        <f>'4.1 спорт выезд'!Q121</f>
        <v>36000</v>
      </c>
      <c r="H332" s="536">
        <f t="shared" si="10"/>
        <v>36000</v>
      </c>
    </row>
    <row r="333" spans="2:8" s="338" customFormat="1" ht="26.25" customHeight="1">
      <c r="B333" s="1031">
        <v>74</v>
      </c>
      <c r="C333" s="406" t="s">
        <v>1185</v>
      </c>
      <c r="D333" s="532" t="s">
        <v>1635</v>
      </c>
      <c r="E333" s="245" t="s">
        <v>541</v>
      </c>
      <c r="F333" s="1990"/>
      <c r="G333" s="1032">
        <f>'4.1 спорт выезд'!$Q$122</f>
        <v>10800</v>
      </c>
      <c r="H333" s="536">
        <f t="shared" si="10"/>
        <v>10800</v>
      </c>
    </row>
    <row r="334" spans="2:8" s="338" customFormat="1" ht="19.5" customHeight="1">
      <c r="B334" s="1031">
        <v>75</v>
      </c>
      <c r="C334" s="406" t="s">
        <v>482</v>
      </c>
      <c r="D334" s="532" t="s">
        <v>1635</v>
      </c>
      <c r="E334" s="245" t="s">
        <v>541</v>
      </c>
      <c r="F334" s="1990"/>
      <c r="G334" s="1032">
        <f>'4.1 спорт выезд'!Q124</f>
        <v>39500</v>
      </c>
      <c r="H334" s="536">
        <f t="shared" si="10"/>
        <v>39500</v>
      </c>
    </row>
    <row r="335" spans="2:8" s="338" customFormat="1" ht="18.75" customHeight="1">
      <c r="B335" s="1031">
        <v>76</v>
      </c>
      <c r="C335" s="406" t="s">
        <v>999</v>
      </c>
      <c r="D335" s="532" t="s">
        <v>1635</v>
      </c>
      <c r="E335" s="245" t="s">
        <v>541</v>
      </c>
      <c r="F335" s="1990"/>
      <c r="G335" s="1032">
        <f>'4.1 спорт выезд'!Q126</f>
        <v>50000</v>
      </c>
      <c r="H335" s="536">
        <f t="shared" si="10"/>
        <v>50000</v>
      </c>
    </row>
    <row r="336" spans="2:8" s="338" customFormat="1" ht="17.25" customHeight="1">
      <c r="B336" s="1031">
        <v>77</v>
      </c>
      <c r="C336" s="406" t="s">
        <v>1764</v>
      </c>
      <c r="D336" s="532" t="s">
        <v>1635</v>
      </c>
      <c r="E336" s="245" t="s">
        <v>541</v>
      </c>
      <c r="F336" s="1990"/>
      <c r="G336" s="1032">
        <f>'4.1 спорт выезд'!Q128</f>
        <v>78240</v>
      </c>
      <c r="H336" s="536">
        <f t="shared" si="10"/>
        <v>78240</v>
      </c>
    </row>
    <row r="337" spans="2:8" s="338" customFormat="1" ht="21.75" customHeight="1">
      <c r="B337" s="1031">
        <v>78</v>
      </c>
      <c r="C337" s="264" t="s">
        <v>1714</v>
      </c>
      <c r="D337" s="532" t="s">
        <v>1635</v>
      </c>
      <c r="E337" s="245" t="s">
        <v>541</v>
      </c>
      <c r="F337" s="1990"/>
      <c r="G337" s="1032">
        <f>'4.1 спорт выезд'!Q130</f>
        <v>10400</v>
      </c>
      <c r="H337" s="536">
        <f t="shared" si="10"/>
        <v>10400</v>
      </c>
    </row>
    <row r="338" spans="2:8" s="338" customFormat="1" ht="27.75" customHeight="1">
      <c r="B338" s="1031">
        <v>79</v>
      </c>
      <c r="C338" s="406" t="s">
        <v>102</v>
      </c>
      <c r="D338" s="532" t="s">
        <v>1635</v>
      </c>
      <c r="E338" s="245" t="s">
        <v>541</v>
      </c>
      <c r="F338" s="1990"/>
      <c r="G338" s="1032">
        <f>'4.1 спорт выезд'!Q133</f>
        <v>8800</v>
      </c>
      <c r="H338" s="536">
        <f t="shared" si="10"/>
        <v>8800</v>
      </c>
    </row>
    <row r="339" spans="2:8" s="338" customFormat="1" ht="24" customHeight="1">
      <c r="B339" s="1031">
        <v>80</v>
      </c>
      <c r="C339" s="401" t="s">
        <v>103</v>
      </c>
      <c r="D339" s="532" t="s">
        <v>1635</v>
      </c>
      <c r="E339" s="245" t="s">
        <v>541</v>
      </c>
      <c r="F339" s="1990"/>
      <c r="G339" s="1032">
        <f>'4.1 спорт выезд'!Q135</f>
        <v>15400</v>
      </c>
      <c r="H339" s="536">
        <f>G339</f>
        <v>15400</v>
      </c>
    </row>
    <row r="340" spans="2:8" s="338" customFormat="1" ht="22.5" customHeight="1">
      <c r="B340" s="1031">
        <v>81</v>
      </c>
      <c r="C340" s="406" t="s">
        <v>96</v>
      </c>
      <c r="D340" s="532" t="s">
        <v>1635</v>
      </c>
      <c r="E340" s="245" t="s">
        <v>541</v>
      </c>
      <c r="F340" s="1990"/>
      <c r="G340" s="1032">
        <f>'4.1 спорт выезд'!Q136</f>
        <v>17000</v>
      </c>
      <c r="H340" s="536">
        <f t="shared" si="10"/>
        <v>17000</v>
      </c>
    </row>
    <row r="341" spans="2:8" s="338" customFormat="1" ht="27" customHeight="1">
      <c r="B341" s="1031">
        <v>82</v>
      </c>
      <c r="C341" s="401" t="s">
        <v>1173</v>
      </c>
      <c r="D341" s="532" t="s">
        <v>1635</v>
      </c>
      <c r="E341" s="245" t="s">
        <v>541</v>
      </c>
      <c r="F341" s="264"/>
      <c r="G341" s="1032">
        <f>'4.1 спорт выезд'!Q138</f>
        <v>23680</v>
      </c>
      <c r="H341" s="536">
        <f t="shared" si="10"/>
        <v>23680</v>
      </c>
    </row>
    <row r="342" spans="2:8" s="338" customFormat="1" ht="27" customHeight="1">
      <c r="B342" s="1031">
        <v>83</v>
      </c>
      <c r="C342" s="406" t="s">
        <v>1191</v>
      </c>
      <c r="D342" s="532" t="s">
        <v>1635</v>
      </c>
      <c r="E342" s="245" t="s">
        <v>541</v>
      </c>
      <c r="F342" s="1990" t="s">
        <v>162</v>
      </c>
      <c r="G342" s="1032">
        <f>'4.1 спорт выезд'!Q140</f>
        <v>11880</v>
      </c>
      <c r="H342" s="536">
        <f t="shared" si="10"/>
        <v>11880</v>
      </c>
    </row>
    <row r="343" spans="2:8" s="338" customFormat="1" ht="23.25" customHeight="1">
      <c r="B343" s="1031">
        <v>84</v>
      </c>
      <c r="C343" s="406" t="s">
        <v>1186</v>
      </c>
      <c r="D343" s="532" t="s">
        <v>1635</v>
      </c>
      <c r="E343" s="245" t="s">
        <v>541</v>
      </c>
      <c r="F343" s="1990"/>
      <c r="G343" s="1032">
        <f>'4.1 спорт выезд'!Q142</f>
        <v>4000</v>
      </c>
      <c r="H343" s="536">
        <f t="shared" si="10"/>
        <v>4000</v>
      </c>
    </row>
    <row r="344" spans="2:8" s="338" customFormat="1" ht="24" customHeight="1">
      <c r="B344" s="1031">
        <v>85</v>
      </c>
      <c r="C344" s="401" t="s">
        <v>458</v>
      </c>
      <c r="D344" s="532" t="s">
        <v>1635</v>
      </c>
      <c r="E344" s="245" t="s">
        <v>541</v>
      </c>
      <c r="F344" s="1990"/>
      <c r="G344" s="1032">
        <f>'4.1 спорт выезд'!Q143</f>
        <v>8000</v>
      </c>
      <c r="H344" s="536">
        <f t="shared" si="10"/>
        <v>8000</v>
      </c>
    </row>
    <row r="345" spans="2:8" s="338" customFormat="1" ht="18.75" customHeight="1">
      <c r="B345" s="1031">
        <v>86</v>
      </c>
      <c r="C345" s="406" t="s">
        <v>1433</v>
      </c>
      <c r="D345" s="532" t="s">
        <v>1635</v>
      </c>
      <c r="E345" s="245" t="s">
        <v>541</v>
      </c>
      <c r="F345" s="1990"/>
      <c r="G345" s="1032">
        <f>'4.1 спорт выезд'!Q144</f>
        <v>17145</v>
      </c>
      <c r="H345" s="536">
        <f t="shared" si="10"/>
        <v>17145</v>
      </c>
    </row>
    <row r="346" spans="2:8" s="338" customFormat="1" ht="24" customHeight="1">
      <c r="B346" s="1031">
        <v>87</v>
      </c>
      <c r="C346" s="401" t="s">
        <v>1619</v>
      </c>
      <c r="D346" s="532" t="s">
        <v>1635</v>
      </c>
      <c r="E346" s="245" t="s">
        <v>541</v>
      </c>
      <c r="F346" s="1990"/>
      <c r="G346" s="1032">
        <f>'4.1 спорт выезд'!Q146</f>
        <v>15200</v>
      </c>
      <c r="H346" s="536">
        <f t="shared" si="10"/>
        <v>15200</v>
      </c>
    </row>
    <row r="347" spans="2:8" s="338" customFormat="1" ht="17.25" customHeight="1">
      <c r="B347" s="1031">
        <v>88</v>
      </c>
      <c r="C347" s="543" t="s">
        <v>459</v>
      </c>
      <c r="D347" s="532" t="s">
        <v>1635</v>
      </c>
      <c r="E347" s="245" t="s">
        <v>541</v>
      </c>
      <c r="F347" s="1990"/>
      <c r="G347" s="1032">
        <f>'4.1 спорт выезд'!Q148</f>
        <v>2240</v>
      </c>
      <c r="H347" s="536">
        <f t="shared" si="10"/>
        <v>2240</v>
      </c>
    </row>
    <row r="348" spans="2:8" s="338" customFormat="1" ht="18" customHeight="1">
      <c r="B348" s="1031">
        <v>89</v>
      </c>
      <c r="C348" s="544" t="s">
        <v>460</v>
      </c>
      <c r="D348" s="532" t="s">
        <v>1635</v>
      </c>
      <c r="E348" s="245" t="s">
        <v>541</v>
      </c>
      <c r="F348" s="1990"/>
      <c r="G348" s="1032">
        <f>'4.1 спорт выезд'!Q151</f>
        <v>12000</v>
      </c>
      <c r="H348" s="536">
        <f t="shared" si="10"/>
        <v>12000</v>
      </c>
    </row>
    <row r="349" spans="2:8" s="338" customFormat="1" ht="25.5" customHeight="1">
      <c r="B349" s="1031">
        <v>90</v>
      </c>
      <c r="C349" s="438" t="s">
        <v>1840</v>
      </c>
      <c r="D349" s="529" t="s">
        <v>1636</v>
      </c>
      <c r="E349" s="419" t="s">
        <v>541</v>
      </c>
      <c r="F349" s="1990"/>
      <c r="G349" s="1038">
        <f>'4.1 спорт выезд'!Q152</f>
        <v>8960</v>
      </c>
      <c r="H349" s="536">
        <f t="shared" si="10"/>
        <v>8960</v>
      </c>
    </row>
    <row r="350" spans="2:8" s="338" customFormat="1" ht="26.25" customHeight="1">
      <c r="B350" s="1031">
        <v>91</v>
      </c>
      <c r="C350" s="406" t="s">
        <v>97</v>
      </c>
      <c r="D350" s="532" t="s">
        <v>1636</v>
      </c>
      <c r="E350" s="245" t="s">
        <v>541</v>
      </c>
      <c r="F350" s="1990"/>
      <c r="G350" s="1032">
        <f>'4.1 спорт выезд'!Q153</f>
        <v>5280</v>
      </c>
      <c r="H350" s="536">
        <f t="shared" si="10"/>
        <v>5280</v>
      </c>
    </row>
    <row r="351" spans="2:8" s="338" customFormat="1" ht="26.25" customHeight="1">
      <c r="B351" s="1031">
        <v>92</v>
      </c>
      <c r="C351" s="406" t="s">
        <v>98</v>
      </c>
      <c r="D351" s="532" t="s">
        <v>1636</v>
      </c>
      <c r="E351" s="245" t="s">
        <v>541</v>
      </c>
      <c r="F351" s="1990"/>
      <c r="G351" s="1032">
        <f>'4.1 спорт выезд'!Q154</f>
        <v>10640</v>
      </c>
      <c r="H351" s="536">
        <f t="shared" si="10"/>
        <v>10640</v>
      </c>
    </row>
    <row r="352" spans="2:8" s="338" customFormat="1" ht="17.25" customHeight="1">
      <c r="B352" s="1031">
        <v>93</v>
      </c>
      <c r="C352" s="404" t="s">
        <v>99</v>
      </c>
      <c r="D352" s="530" t="s">
        <v>1636</v>
      </c>
      <c r="E352" s="240" t="s">
        <v>541</v>
      </c>
      <c r="F352" s="1990"/>
      <c r="G352" s="1047">
        <f>'4.1 спорт выезд'!Q156</f>
        <v>14000</v>
      </c>
      <c r="H352" s="536">
        <f t="shared" si="10"/>
        <v>14000</v>
      </c>
    </row>
    <row r="353" spans="2:8" s="338" customFormat="1" ht="18.75" customHeight="1">
      <c r="B353" s="1031">
        <v>94</v>
      </c>
      <c r="C353" s="406" t="s">
        <v>267</v>
      </c>
      <c r="D353" s="532" t="s">
        <v>1636</v>
      </c>
      <c r="E353" s="245" t="s">
        <v>541</v>
      </c>
      <c r="F353" s="1991"/>
      <c r="G353" s="1032">
        <f>'4.1 спорт выезд'!Q158</f>
        <v>660</v>
      </c>
      <c r="H353" s="536">
        <f t="shared" si="10"/>
        <v>660</v>
      </c>
    </row>
    <row r="354" spans="2:8" s="338" customFormat="1" ht="18" customHeight="1">
      <c r="B354" s="1031">
        <v>96</v>
      </c>
      <c r="C354" s="406" t="str">
        <f>'4.1 спорт выезд'!B159</f>
        <v>Спорт.бальн.танцы. Откр.чемп.РФ</v>
      </c>
      <c r="D354" s="532" t="s">
        <v>1636</v>
      </c>
      <c r="E354" s="245" t="s">
        <v>541</v>
      </c>
      <c r="F354" s="407"/>
      <c r="G354" s="1032">
        <f>'4.1 спорт выезд'!Q159</f>
        <v>35970</v>
      </c>
      <c r="H354" s="536">
        <f t="shared" si="10"/>
        <v>35970</v>
      </c>
    </row>
    <row r="355" spans="2:8" s="338" customFormat="1" ht="24.75" customHeight="1">
      <c r="B355" s="1031">
        <v>97</v>
      </c>
      <c r="C355" s="406" t="s">
        <v>100</v>
      </c>
      <c r="D355" s="532" t="s">
        <v>1636</v>
      </c>
      <c r="E355" s="245" t="s">
        <v>541</v>
      </c>
      <c r="F355" s="264"/>
      <c r="G355" s="1032">
        <f>'4.1 спорт выезд'!Q161</f>
        <v>26370</v>
      </c>
      <c r="H355" s="536">
        <f t="shared" si="10"/>
        <v>26370</v>
      </c>
    </row>
    <row r="356" spans="2:8" s="338" customFormat="1" ht="24">
      <c r="B356" s="1031">
        <v>98</v>
      </c>
      <c r="C356" s="406" t="s">
        <v>1423</v>
      </c>
      <c r="D356" s="532" t="s">
        <v>1636</v>
      </c>
      <c r="E356" s="245" t="s">
        <v>541</v>
      </c>
      <c r="F356" s="264"/>
      <c r="G356" s="1032">
        <f>'4.1 спорт выезд'!Q163</f>
        <v>21600</v>
      </c>
      <c r="H356" s="536">
        <f t="shared" si="10"/>
        <v>21600</v>
      </c>
    </row>
    <row r="357" spans="2:8" s="338" customFormat="1" ht="24">
      <c r="B357" s="1031">
        <v>99</v>
      </c>
      <c r="C357" s="401" t="s">
        <v>128</v>
      </c>
      <c r="D357" s="532" t="s">
        <v>1636</v>
      </c>
      <c r="E357" s="245" t="s">
        <v>541</v>
      </c>
      <c r="F357" s="264"/>
      <c r="G357" s="1032">
        <f>'4.1 спорт выезд'!Q165</f>
        <v>14250</v>
      </c>
      <c r="H357" s="536">
        <f t="shared" si="10"/>
        <v>14250</v>
      </c>
    </row>
    <row r="358" spans="2:8" s="338" customFormat="1" ht="18.75" customHeight="1">
      <c r="B358" s="1031">
        <v>100</v>
      </c>
      <c r="C358" s="543" t="s">
        <v>129</v>
      </c>
      <c r="D358" s="532" t="s">
        <v>1636</v>
      </c>
      <c r="E358" s="245" t="s">
        <v>541</v>
      </c>
      <c r="F358" s="264"/>
      <c r="G358" s="1032">
        <f>'4.1 спорт выезд'!Q71</f>
        <v>23100</v>
      </c>
      <c r="H358" s="536">
        <f t="shared" si="10"/>
        <v>23100</v>
      </c>
    </row>
    <row r="359" spans="2:8" s="338" customFormat="1" ht="24" customHeight="1">
      <c r="B359" s="1031">
        <v>101</v>
      </c>
      <c r="C359" s="401" t="s">
        <v>1506</v>
      </c>
      <c r="D359" s="532" t="s">
        <v>1636</v>
      </c>
      <c r="E359" s="245" t="s">
        <v>541</v>
      </c>
      <c r="F359" s="264"/>
      <c r="G359" s="1032">
        <f>'4.1 спорт выезд'!Q171</f>
        <v>7400</v>
      </c>
      <c r="H359" s="536">
        <f t="shared" si="10"/>
        <v>7400</v>
      </c>
    </row>
    <row r="360" spans="2:8" s="338" customFormat="1" ht="23.25" customHeight="1">
      <c r="B360" s="1031">
        <v>102</v>
      </c>
      <c r="C360" s="406" t="s">
        <v>254</v>
      </c>
      <c r="D360" s="532" t="s">
        <v>1636</v>
      </c>
      <c r="E360" s="245" t="s">
        <v>541</v>
      </c>
      <c r="F360" s="264"/>
      <c r="G360" s="1032">
        <f>'4.1 спорт выезд'!Q172</f>
        <v>5000</v>
      </c>
      <c r="H360" s="536">
        <f t="shared" si="10"/>
        <v>5000</v>
      </c>
    </row>
    <row r="361" spans="2:8" s="338" customFormat="1" ht="19.5" customHeight="1">
      <c r="B361" s="1031">
        <v>103</v>
      </c>
      <c r="C361" s="406" t="s">
        <v>880</v>
      </c>
      <c r="D361" s="532" t="s">
        <v>1636</v>
      </c>
      <c r="E361" s="245" t="s">
        <v>541</v>
      </c>
      <c r="F361" s="264"/>
      <c r="G361" s="1032">
        <f>'4.1 спорт выезд'!Q173</f>
        <v>17000</v>
      </c>
      <c r="H361" s="536">
        <f t="shared" si="10"/>
        <v>17000</v>
      </c>
    </row>
    <row r="362" spans="2:8" s="338" customFormat="1" ht="16.5" customHeight="1">
      <c r="B362" s="1031">
        <v>104</v>
      </c>
      <c r="C362" s="406" t="s">
        <v>808</v>
      </c>
      <c r="D362" s="532" t="s">
        <v>1636</v>
      </c>
      <c r="E362" s="245" t="s">
        <v>541</v>
      </c>
      <c r="F362" s="264"/>
      <c r="G362" s="1032">
        <f>'4.1 спорт выезд'!Q175</f>
        <v>3320</v>
      </c>
      <c r="H362" s="536">
        <f t="shared" si="10"/>
        <v>3320</v>
      </c>
    </row>
    <row r="363" spans="2:8" s="338" customFormat="1" ht="27" customHeight="1">
      <c r="B363" s="1031">
        <v>105</v>
      </c>
      <c r="C363" s="401" t="s">
        <v>273</v>
      </c>
      <c r="D363" s="532" t="s">
        <v>1636</v>
      </c>
      <c r="E363" s="245" t="s">
        <v>541</v>
      </c>
      <c r="F363" s="264"/>
      <c r="G363" s="1032">
        <f>'4.1 спорт выезд'!Q177</f>
        <v>9760</v>
      </c>
      <c r="H363" s="536">
        <f t="shared" si="10"/>
        <v>9760</v>
      </c>
    </row>
    <row r="364" spans="2:8" s="338" customFormat="1" ht="20.25" customHeight="1">
      <c r="B364" s="1031">
        <v>106</v>
      </c>
      <c r="C364" s="406" t="s">
        <v>809</v>
      </c>
      <c r="D364" s="532" t="s">
        <v>1636</v>
      </c>
      <c r="E364" s="542" t="s">
        <v>541</v>
      </c>
      <c r="F364" s="264"/>
      <c r="G364" s="1033">
        <f>'4.1 спорт выезд'!Q179</f>
        <v>4200</v>
      </c>
      <c r="H364" s="536">
        <f aca="true" t="shared" si="12" ref="H364:H385">G364</f>
        <v>4200</v>
      </c>
    </row>
    <row r="365" spans="2:8" s="338" customFormat="1" ht="17.25" customHeight="1">
      <c r="B365" s="1031">
        <v>107</v>
      </c>
      <c r="C365" s="406" t="s">
        <v>1765</v>
      </c>
      <c r="D365" s="532" t="s">
        <v>1636</v>
      </c>
      <c r="E365" s="245" t="s">
        <v>541</v>
      </c>
      <c r="F365" s="264"/>
      <c r="G365" s="1032">
        <f>'4.1 спорт выезд'!Q180</f>
        <v>43200</v>
      </c>
      <c r="H365" s="536">
        <f t="shared" si="12"/>
        <v>43200</v>
      </c>
    </row>
    <row r="366" spans="2:8" s="338" customFormat="1" ht="18.75" customHeight="1">
      <c r="B366" s="1031">
        <v>108</v>
      </c>
      <c r="C366" s="406" t="s">
        <v>39</v>
      </c>
      <c r="D366" s="532" t="s">
        <v>1636</v>
      </c>
      <c r="E366" s="245" t="s">
        <v>541</v>
      </c>
      <c r="F366" s="264"/>
      <c r="G366" s="1032">
        <f>'4.1 спорт выезд'!Q182</f>
        <v>45700</v>
      </c>
      <c r="H366" s="536">
        <f t="shared" si="12"/>
        <v>45700</v>
      </c>
    </row>
    <row r="367" spans="2:8" s="338" customFormat="1" ht="18" customHeight="1">
      <c r="B367" s="1031">
        <v>109</v>
      </c>
      <c r="C367" s="406" t="s">
        <v>1583</v>
      </c>
      <c r="D367" s="532" t="s">
        <v>1636</v>
      </c>
      <c r="E367" s="245" t="s">
        <v>541</v>
      </c>
      <c r="F367" s="264"/>
      <c r="G367" s="1032">
        <f>'4.1 спорт выезд'!Q184</f>
        <v>18400</v>
      </c>
      <c r="H367" s="536">
        <f t="shared" si="12"/>
        <v>18400</v>
      </c>
    </row>
    <row r="368" spans="2:8" s="338" customFormat="1" ht="31.5" customHeight="1">
      <c r="B368" s="1031">
        <v>110</v>
      </c>
      <c r="C368" s="439" t="s">
        <v>1507</v>
      </c>
      <c r="D368" s="532" t="s">
        <v>1636</v>
      </c>
      <c r="E368" s="245" t="s">
        <v>541</v>
      </c>
      <c r="F368" s="245"/>
      <c r="G368" s="1032">
        <f>'4.1 спорт выезд'!Q185</f>
        <v>16950</v>
      </c>
      <c r="H368" s="536">
        <f t="shared" si="12"/>
        <v>16950</v>
      </c>
    </row>
    <row r="369" spans="2:8" s="338" customFormat="1" ht="21" customHeight="1">
      <c r="B369" s="1031">
        <v>111</v>
      </c>
      <c r="C369" s="437" t="s">
        <v>1131</v>
      </c>
      <c r="D369" s="532" t="s">
        <v>1636</v>
      </c>
      <c r="E369" s="245" t="s">
        <v>541</v>
      </c>
      <c r="F369" s="2029" t="s">
        <v>1561</v>
      </c>
      <c r="G369" s="1032">
        <f>'4.1 спорт выезд'!Q186</f>
        <v>9000</v>
      </c>
      <c r="H369" s="536">
        <f t="shared" si="12"/>
        <v>9000</v>
      </c>
    </row>
    <row r="370" spans="2:8" s="338" customFormat="1" ht="21" customHeight="1">
      <c r="B370" s="1031">
        <v>112</v>
      </c>
      <c r="C370" s="437" t="s">
        <v>1132</v>
      </c>
      <c r="D370" s="532" t="s">
        <v>1636</v>
      </c>
      <c r="E370" s="245" t="s">
        <v>541</v>
      </c>
      <c r="F370" s="2015"/>
      <c r="G370" s="1032">
        <f>'4.1 спорт выезд'!Q187</f>
        <v>7800</v>
      </c>
      <c r="H370" s="536">
        <f t="shared" si="12"/>
        <v>7800</v>
      </c>
    </row>
    <row r="371" spans="2:8" s="338" customFormat="1" ht="21" customHeight="1">
      <c r="B371" s="1031">
        <v>113</v>
      </c>
      <c r="C371" s="437" t="s">
        <v>1133</v>
      </c>
      <c r="D371" s="532" t="s">
        <v>1636</v>
      </c>
      <c r="E371" s="245" t="s">
        <v>541</v>
      </c>
      <c r="F371" s="2015"/>
      <c r="G371" s="1032">
        <f>'4.1 спорт выезд'!Q188</f>
        <v>7800</v>
      </c>
      <c r="H371" s="536">
        <f t="shared" si="12"/>
        <v>7800</v>
      </c>
    </row>
    <row r="372" spans="2:8" s="338" customFormat="1" ht="21" customHeight="1">
      <c r="B372" s="1031">
        <v>114</v>
      </c>
      <c r="C372" s="403" t="s">
        <v>1134</v>
      </c>
      <c r="D372" s="530" t="s">
        <v>1636</v>
      </c>
      <c r="E372" s="240" t="s">
        <v>541</v>
      </c>
      <c r="F372" s="2015"/>
      <c r="G372" s="1047">
        <f>'4.1 спорт выезд'!Q189</f>
        <v>3600</v>
      </c>
      <c r="H372" s="1051">
        <f t="shared" si="12"/>
        <v>3600</v>
      </c>
    </row>
    <row r="373" spans="2:8" s="338" customFormat="1" ht="21" customHeight="1">
      <c r="B373" s="1031">
        <v>115</v>
      </c>
      <c r="C373" s="439" t="s">
        <v>1135</v>
      </c>
      <c r="D373" s="532" t="s">
        <v>1636</v>
      </c>
      <c r="E373" s="245" t="s">
        <v>541</v>
      </c>
      <c r="F373" s="2015"/>
      <c r="G373" s="1032">
        <f>'4.1 спорт выезд'!Q190</f>
        <v>9450</v>
      </c>
      <c r="H373" s="536">
        <f t="shared" si="12"/>
        <v>9450</v>
      </c>
    </row>
    <row r="374" spans="2:8" s="338" customFormat="1" ht="23.25" customHeight="1">
      <c r="B374" s="1031">
        <v>116</v>
      </c>
      <c r="C374" s="406" t="s">
        <v>1524</v>
      </c>
      <c r="D374" s="532" t="s">
        <v>1636</v>
      </c>
      <c r="E374" s="245" t="s">
        <v>541</v>
      </c>
      <c r="F374" s="2015"/>
      <c r="G374" s="1032">
        <f>'4.1 спорт выезд'!Q191</f>
        <v>2900</v>
      </c>
      <c r="H374" s="536">
        <f t="shared" si="12"/>
        <v>2900</v>
      </c>
    </row>
    <row r="375" spans="2:8" s="338" customFormat="1" ht="19.5" customHeight="1">
      <c r="B375" s="1031">
        <v>117</v>
      </c>
      <c r="C375" s="406" t="s">
        <v>1525</v>
      </c>
      <c r="D375" s="532" t="s">
        <v>1636</v>
      </c>
      <c r="E375" s="245" t="s">
        <v>541</v>
      </c>
      <c r="F375" s="2015"/>
      <c r="G375" s="1032">
        <f>'4.1 спорт выезд'!Q192</f>
        <v>3900</v>
      </c>
      <c r="H375" s="536">
        <f t="shared" si="12"/>
        <v>3900</v>
      </c>
    </row>
    <row r="376" spans="2:8" s="338" customFormat="1" ht="23.25" customHeight="1">
      <c r="B376" s="1031">
        <v>118</v>
      </c>
      <c r="C376" s="406" t="s">
        <v>107</v>
      </c>
      <c r="D376" s="532" t="s">
        <v>1636</v>
      </c>
      <c r="E376" s="245" t="s">
        <v>541</v>
      </c>
      <c r="F376" s="2015"/>
      <c r="G376" s="1032">
        <f>'4.1 спорт выезд'!Q193</f>
        <v>28050</v>
      </c>
      <c r="H376" s="536">
        <f t="shared" si="12"/>
        <v>28050</v>
      </c>
    </row>
    <row r="377" spans="2:8" s="338" customFormat="1" ht="31.5" customHeight="1">
      <c r="B377" s="1031">
        <v>119</v>
      </c>
      <c r="C377" s="406" t="s">
        <v>1412</v>
      </c>
      <c r="D377" s="532" t="s">
        <v>1636</v>
      </c>
      <c r="E377" s="245" t="s">
        <v>541</v>
      </c>
      <c r="F377" s="2015"/>
      <c r="G377" s="1032">
        <f>'4.1 спорт выезд'!Q197</f>
        <v>4560</v>
      </c>
      <c r="H377" s="536">
        <f t="shared" si="12"/>
        <v>4560</v>
      </c>
    </row>
    <row r="378" spans="2:8" s="338" customFormat="1" ht="25.5" customHeight="1">
      <c r="B378" s="1031">
        <v>120</v>
      </c>
      <c r="C378" s="406" t="s">
        <v>1136</v>
      </c>
      <c r="D378" s="532" t="s">
        <v>1636</v>
      </c>
      <c r="E378" s="245" t="s">
        <v>541</v>
      </c>
      <c r="F378" s="2015"/>
      <c r="G378" s="1032">
        <f>'4.1 спорт выезд'!Q199</f>
        <v>9750</v>
      </c>
      <c r="H378" s="536">
        <f t="shared" si="12"/>
        <v>9750</v>
      </c>
    </row>
    <row r="379" spans="2:8" s="338" customFormat="1" ht="22.5" customHeight="1">
      <c r="B379" s="1031">
        <v>121</v>
      </c>
      <c r="C379" s="401" t="s">
        <v>1170</v>
      </c>
      <c r="D379" s="532" t="s">
        <v>1636</v>
      </c>
      <c r="E379" s="245" t="s">
        <v>541</v>
      </c>
      <c r="F379" s="2015"/>
      <c r="G379" s="1032">
        <f>'4.1 спорт выезд'!Q201</f>
        <v>5820</v>
      </c>
      <c r="H379" s="536">
        <f t="shared" si="12"/>
        <v>5820</v>
      </c>
    </row>
    <row r="380" spans="2:8" s="338" customFormat="1" ht="24" customHeight="1">
      <c r="B380" s="1031">
        <v>123</v>
      </c>
      <c r="C380" s="401" t="s">
        <v>1896</v>
      </c>
      <c r="D380" s="532" t="s">
        <v>1636</v>
      </c>
      <c r="E380" s="245" t="s">
        <v>541</v>
      </c>
      <c r="F380" s="2015"/>
      <c r="G380" s="1032">
        <f>'4.1 спорт выезд'!Q203</f>
        <v>3600</v>
      </c>
      <c r="H380" s="536">
        <f t="shared" si="12"/>
        <v>3600</v>
      </c>
    </row>
    <row r="381" spans="2:8" s="338" customFormat="1" ht="16.5" customHeight="1">
      <c r="B381" s="1031">
        <v>125</v>
      </c>
      <c r="C381" s="401" t="s">
        <v>1901</v>
      </c>
      <c r="D381" s="532" t="s">
        <v>1636</v>
      </c>
      <c r="E381" s="245" t="s">
        <v>541</v>
      </c>
      <c r="F381" s="2015"/>
      <c r="G381" s="1032">
        <f>'4.1 спорт выезд'!Q204</f>
        <v>16880</v>
      </c>
      <c r="H381" s="536">
        <f t="shared" si="12"/>
        <v>16880</v>
      </c>
    </row>
    <row r="382" spans="2:8" s="338" customFormat="1" ht="24" customHeight="1">
      <c r="B382" s="1031">
        <v>126</v>
      </c>
      <c r="C382" s="406" t="s">
        <v>1745</v>
      </c>
      <c r="D382" s="532" t="s">
        <v>1636</v>
      </c>
      <c r="E382" s="245" t="s">
        <v>541</v>
      </c>
      <c r="F382" s="1041"/>
      <c r="G382" s="1032">
        <f>'4.1 спорт выезд'!Q206</f>
        <v>21690</v>
      </c>
      <c r="H382" s="536">
        <f t="shared" si="12"/>
        <v>21690</v>
      </c>
    </row>
    <row r="383" spans="2:8" s="338" customFormat="1" ht="25.5" customHeight="1">
      <c r="B383" s="1031">
        <v>127</v>
      </c>
      <c r="C383" s="406" t="s">
        <v>759</v>
      </c>
      <c r="D383" s="532" t="s">
        <v>1636</v>
      </c>
      <c r="E383" s="245" t="s">
        <v>541</v>
      </c>
      <c r="F383" s="1043"/>
      <c r="G383" s="1032">
        <f>'4.1 спорт выезд'!Q208</f>
        <v>8720</v>
      </c>
      <c r="H383" s="536">
        <f t="shared" si="12"/>
        <v>8720</v>
      </c>
    </row>
    <row r="384" spans="2:8" s="338" customFormat="1" ht="24" customHeight="1">
      <c r="B384" s="1031">
        <v>128</v>
      </c>
      <c r="C384" s="401" t="s">
        <v>49</v>
      </c>
      <c r="D384" s="532" t="s">
        <v>1636</v>
      </c>
      <c r="E384" s="245" t="s">
        <v>541</v>
      </c>
      <c r="F384" s="1043"/>
      <c r="G384" s="1032">
        <f>'4.1 спорт выезд'!Q210</f>
        <v>21860</v>
      </c>
      <c r="H384" s="536">
        <f t="shared" si="12"/>
        <v>21860</v>
      </c>
    </row>
    <row r="385" spans="2:8" s="338" customFormat="1" ht="17.25" customHeight="1">
      <c r="B385" s="1031">
        <v>129</v>
      </c>
      <c r="C385" s="406" t="s">
        <v>1137</v>
      </c>
      <c r="D385" s="532" t="s">
        <v>1636</v>
      </c>
      <c r="E385" s="245" t="s">
        <v>541</v>
      </c>
      <c r="F385" s="1042"/>
      <c r="G385" s="1032">
        <f>'4.1 спорт выезд'!Q212</f>
        <v>16900</v>
      </c>
      <c r="H385" s="536">
        <f t="shared" si="12"/>
        <v>16900</v>
      </c>
    </row>
    <row r="386" spans="2:8" s="1513" customFormat="1" ht="18" customHeight="1">
      <c r="B386" s="2017" t="s">
        <v>1620</v>
      </c>
      <c r="C386" s="2027"/>
      <c r="D386" s="2027"/>
      <c r="E386" s="2027"/>
      <c r="F386" s="2028"/>
      <c r="G386" s="1516">
        <f>SUM(G387:G391)</f>
        <v>35220</v>
      </c>
      <c r="H386" s="1517">
        <f>SUM(H387:H391)</f>
        <v>35220</v>
      </c>
    </row>
    <row r="387" spans="2:8" s="338" customFormat="1" ht="24.75" customHeight="1">
      <c r="B387" s="1031">
        <v>1</v>
      </c>
      <c r="C387" s="245" t="s">
        <v>881</v>
      </c>
      <c r="D387" s="407" t="s">
        <v>1889</v>
      </c>
      <c r="E387" s="245" t="s">
        <v>541</v>
      </c>
      <c r="F387" s="245"/>
      <c r="G387" s="1032">
        <f>'4.2 мед.обесп'!F7</f>
        <v>7500</v>
      </c>
      <c r="H387" s="536">
        <f>G387</f>
        <v>7500</v>
      </c>
    </row>
    <row r="388" spans="2:8" s="338" customFormat="1" ht="25.5" customHeight="1">
      <c r="B388" s="1031">
        <v>2</v>
      </c>
      <c r="C388" s="245" t="s">
        <v>518</v>
      </c>
      <c r="D388" s="407" t="s">
        <v>1140</v>
      </c>
      <c r="E388" s="245" t="s">
        <v>541</v>
      </c>
      <c r="F388" s="1989" t="s">
        <v>553</v>
      </c>
      <c r="G388" s="1032">
        <f>'4.2 мед.обесп'!F10*12</f>
        <v>5400</v>
      </c>
      <c r="H388" s="536">
        <f aca="true" t="shared" si="13" ref="H388:H426">G388</f>
        <v>5400</v>
      </c>
    </row>
    <row r="389" spans="2:8" s="338" customFormat="1" ht="24" customHeight="1">
      <c r="B389" s="1031">
        <v>3</v>
      </c>
      <c r="C389" s="245" t="s">
        <v>519</v>
      </c>
      <c r="D389" s="407" t="s">
        <v>1140</v>
      </c>
      <c r="E389" s="245" t="s">
        <v>541</v>
      </c>
      <c r="F389" s="1990"/>
      <c r="G389" s="1032">
        <f>'4.2 мед.обесп'!F11*12</f>
        <v>7920</v>
      </c>
      <c r="H389" s="536">
        <f t="shared" si="13"/>
        <v>7920</v>
      </c>
    </row>
    <row r="390" spans="2:8" s="338" customFormat="1" ht="25.5" customHeight="1">
      <c r="B390" s="1031">
        <v>4</v>
      </c>
      <c r="C390" s="264" t="s">
        <v>520</v>
      </c>
      <c r="D390" s="407" t="s">
        <v>1140</v>
      </c>
      <c r="E390" s="245" t="s">
        <v>541</v>
      </c>
      <c r="F390" s="1990"/>
      <c r="G390" s="1032">
        <f>'4.2 мед.обесп'!F12*12</f>
        <v>10800</v>
      </c>
      <c r="H390" s="536">
        <f t="shared" si="13"/>
        <v>10800</v>
      </c>
    </row>
    <row r="391" spans="2:8" s="338" customFormat="1" ht="24.75" customHeight="1">
      <c r="B391" s="1031">
        <v>5</v>
      </c>
      <c r="C391" s="245" t="s">
        <v>117</v>
      </c>
      <c r="D391" s="407" t="s">
        <v>1140</v>
      </c>
      <c r="E391" s="245" t="s">
        <v>541</v>
      </c>
      <c r="F391" s="1991"/>
      <c r="G391" s="1032">
        <f>'4.2 мед.обесп'!F13*12</f>
        <v>3600</v>
      </c>
      <c r="H391" s="536">
        <f t="shared" si="13"/>
        <v>3600</v>
      </c>
    </row>
    <row r="392" spans="2:8" s="1317" customFormat="1" ht="20.25" customHeight="1">
      <c r="B392" s="2030" t="s">
        <v>1705</v>
      </c>
      <c r="C392" s="2031"/>
      <c r="D392" s="2031"/>
      <c r="E392" s="2031"/>
      <c r="F392" s="2032"/>
      <c r="G392" s="1318">
        <f>SUM(G393)</f>
        <v>69422</v>
      </c>
      <c r="H392" s="1319">
        <f>SUM(H393)</f>
        <v>69422</v>
      </c>
    </row>
    <row r="393" spans="2:8" s="1513" customFormat="1" ht="19.5" customHeight="1">
      <c r="B393" s="2017" t="s">
        <v>1540</v>
      </c>
      <c r="C393" s="2027"/>
      <c r="D393" s="2027"/>
      <c r="E393" s="2027"/>
      <c r="F393" s="2028"/>
      <c r="G393" s="1516">
        <f>SUM(G394:G395)</f>
        <v>69422</v>
      </c>
      <c r="H393" s="1517">
        <f>SUM(H394:H395)</f>
        <v>69422</v>
      </c>
    </row>
    <row r="394" spans="2:8" s="338" customFormat="1" ht="25.5" customHeight="1">
      <c r="B394" s="1031">
        <v>1</v>
      </c>
      <c r="C394" s="245" t="s">
        <v>1495</v>
      </c>
      <c r="D394" s="407" t="s">
        <v>1140</v>
      </c>
      <c r="E394" s="245" t="s">
        <v>541</v>
      </c>
      <c r="F394" s="1984" t="s">
        <v>1843</v>
      </c>
      <c r="G394" s="1032">
        <f>'5 ком.клуб'!H8*12</f>
        <v>33096</v>
      </c>
      <c r="H394" s="536">
        <f t="shared" si="13"/>
        <v>33096</v>
      </c>
    </row>
    <row r="395" spans="2:8" s="338" customFormat="1" ht="23.25" customHeight="1">
      <c r="B395" s="1031">
        <v>2</v>
      </c>
      <c r="C395" s="264" t="s">
        <v>1496</v>
      </c>
      <c r="D395" s="407" t="s">
        <v>1140</v>
      </c>
      <c r="E395" s="245" t="s">
        <v>541</v>
      </c>
      <c r="F395" s="1984"/>
      <c r="G395" s="1032">
        <f>('5 ком.клуб'!H14-'5 ком.клуб'!H8)*12</f>
        <v>36326</v>
      </c>
      <c r="H395" s="536">
        <f t="shared" si="13"/>
        <v>36326</v>
      </c>
    </row>
    <row r="396" spans="2:8" s="1317" customFormat="1" ht="18.75" customHeight="1">
      <c r="B396" s="2030" t="s">
        <v>1318</v>
      </c>
      <c r="C396" s="2031"/>
      <c r="D396" s="2031"/>
      <c r="E396" s="2031"/>
      <c r="F396" s="2032"/>
      <c r="G396" s="1318">
        <f>SUM(G397)</f>
        <v>1692381</v>
      </c>
      <c r="H396" s="1319">
        <f>SUM(H397)</f>
        <v>1692381</v>
      </c>
    </row>
    <row r="397" spans="2:8" s="1513" customFormat="1" ht="19.5" customHeight="1">
      <c r="B397" s="2017" t="s">
        <v>1541</v>
      </c>
      <c r="C397" s="2027"/>
      <c r="D397" s="2027"/>
      <c r="E397" s="2027"/>
      <c r="F397" s="2028"/>
      <c r="G397" s="1516">
        <f>ROUNDUP(SUM(G398:G404),0)</f>
        <v>1692381</v>
      </c>
      <c r="H397" s="1517">
        <f>SUM(H398:H404)</f>
        <v>1692381</v>
      </c>
    </row>
    <row r="398" spans="2:8" s="338" customFormat="1" ht="22.5" customHeight="1">
      <c r="B398" s="1031">
        <v>1</v>
      </c>
      <c r="C398" s="245" t="s">
        <v>810</v>
      </c>
      <c r="D398" s="407" t="s">
        <v>1140</v>
      </c>
      <c r="E398" s="245" t="s">
        <v>541</v>
      </c>
      <c r="F398" s="245"/>
      <c r="G398" s="1032">
        <f>'6 штат'!L7</f>
        <v>87348</v>
      </c>
      <c r="H398" s="536">
        <f t="shared" si="13"/>
        <v>87348</v>
      </c>
    </row>
    <row r="399" spans="2:8" s="338" customFormat="1" ht="24.75" customHeight="1">
      <c r="B399" s="1031">
        <v>2</v>
      </c>
      <c r="C399" s="245" t="s">
        <v>908</v>
      </c>
      <c r="D399" s="1048" t="s">
        <v>163</v>
      </c>
      <c r="E399" s="245" t="s">
        <v>541</v>
      </c>
      <c r="F399" s="407"/>
      <c r="G399" s="1032">
        <f>'6 штат'!L8</f>
        <v>550938</v>
      </c>
      <c r="H399" s="536">
        <f t="shared" si="13"/>
        <v>550938</v>
      </c>
    </row>
    <row r="400" spans="2:8" s="338" customFormat="1" ht="21.75" customHeight="1">
      <c r="B400" s="1031">
        <v>3</v>
      </c>
      <c r="C400" s="264" t="s">
        <v>863</v>
      </c>
      <c r="D400" s="1048" t="s">
        <v>163</v>
      </c>
      <c r="E400" s="245" t="s">
        <v>541</v>
      </c>
      <c r="F400" s="1984" t="s">
        <v>1697</v>
      </c>
      <c r="G400" s="1032">
        <f>'6 штат'!L9</f>
        <v>202820</v>
      </c>
      <c r="H400" s="536">
        <f t="shared" si="13"/>
        <v>202820</v>
      </c>
    </row>
    <row r="401" spans="2:8" s="338" customFormat="1" ht="20.25" customHeight="1">
      <c r="B401" s="1031">
        <v>4</v>
      </c>
      <c r="C401" s="245" t="s">
        <v>864</v>
      </c>
      <c r="D401" s="1048" t="s">
        <v>163</v>
      </c>
      <c r="E401" s="245" t="s">
        <v>541</v>
      </c>
      <c r="F401" s="1984"/>
      <c r="G401" s="1032">
        <f>'6 штат'!L10</f>
        <v>157412</v>
      </c>
      <c r="H401" s="536">
        <f t="shared" si="13"/>
        <v>157412</v>
      </c>
    </row>
    <row r="402" spans="2:8" s="338" customFormat="1" ht="20.25" customHeight="1">
      <c r="B402" s="1031">
        <v>5</v>
      </c>
      <c r="C402" s="264" t="s">
        <v>797</v>
      </c>
      <c r="D402" s="1048" t="s">
        <v>163</v>
      </c>
      <c r="E402" s="245" t="s">
        <v>541</v>
      </c>
      <c r="F402" s="1984"/>
      <c r="G402" s="1032">
        <f>'6 штат'!L11</f>
        <v>169997</v>
      </c>
      <c r="H402" s="536">
        <f t="shared" si="13"/>
        <v>169997</v>
      </c>
    </row>
    <row r="403" spans="2:8" s="338" customFormat="1" ht="20.25" customHeight="1">
      <c r="B403" s="1031">
        <v>6</v>
      </c>
      <c r="C403" s="245" t="s">
        <v>798</v>
      </c>
      <c r="D403" s="1048" t="s">
        <v>163</v>
      </c>
      <c r="E403" s="245" t="s">
        <v>541</v>
      </c>
      <c r="F403" s="1984"/>
      <c r="G403" s="1032">
        <f>'6 штат'!L12</f>
        <v>511586</v>
      </c>
      <c r="H403" s="536">
        <f t="shared" si="13"/>
        <v>511586</v>
      </c>
    </row>
    <row r="404" spans="2:8" s="338" customFormat="1" ht="20.25" customHeight="1">
      <c r="B404" s="1031">
        <v>7</v>
      </c>
      <c r="C404" s="245" t="s">
        <v>799</v>
      </c>
      <c r="D404" s="1048" t="s">
        <v>163</v>
      </c>
      <c r="E404" s="245" t="s">
        <v>541</v>
      </c>
      <c r="F404" s="407"/>
      <c r="G404" s="1032">
        <f>'6 штат'!L19</f>
        <v>12280</v>
      </c>
      <c r="H404" s="536">
        <f t="shared" si="13"/>
        <v>12280</v>
      </c>
    </row>
    <row r="405" spans="2:8" s="1317" customFormat="1" ht="26.25" customHeight="1">
      <c r="B405" s="2030" t="s">
        <v>417</v>
      </c>
      <c r="C405" s="2031"/>
      <c r="D405" s="2031"/>
      <c r="E405" s="2031"/>
      <c r="F405" s="2032"/>
      <c r="G405" s="1318">
        <f>ROUNDUP(SUM(G406,G416),0)</f>
        <v>495640</v>
      </c>
      <c r="H405" s="1319">
        <f t="shared" si="13"/>
        <v>495640</v>
      </c>
    </row>
    <row r="406" spans="2:8" s="1513" customFormat="1" ht="19.5" customHeight="1">
      <c r="B406" s="2017" t="s">
        <v>418</v>
      </c>
      <c r="C406" s="2027"/>
      <c r="D406" s="2027"/>
      <c r="E406" s="2027"/>
      <c r="F406" s="2028"/>
      <c r="G406" s="1516">
        <f>ROUNDUP(SUM(G407:G415),0)</f>
        <v>303540</v>
      </c>
      <c r="H406" s="1517">
        <f>SUM(H407:H415)</f>
        <v>303540</v>
      </c>
    </row>
    <row r="407" spans="2:8" s="338" customFormat="1" ht="21.75" customHeight="1">
      <c r="B407" s="1031">
        <v>1</v>
      </c>
      <c r="C407" s="245" t="s">
        <v>1581</v>
      </c>
      <c r="D407" s="407" t="s">
        <v>1140</v>
      </c>
      <c r="E407" s="245" t="s">
        <v>541</v>
      </c>
      <c r="F407" s="1989" t="s">
        <v>1203</v>
      </c>
      <c r="G407" s="1032">
        <f>ROUNDUP('7.1 инф'!H8*12,0)</f>
        <v>26376</v>
      </c>
      <c r="H407" s="536">
        <f t="shared" si="13"/>
        <v>26376</v>
      </c>
    </row>
    <row r="408" spans="2:8" s="338" customFormat="1" ht="36" customHeight="1">
      <c r="B408" s="1031">
        <v>2</v>
      </c>
      <c r="C408" s="167" t="s">
        <v>1578</v>
      </c>
      <c r="D408" s="1048" t="s">
        <v>163</v>
      </c>
      <c r="E408" s="245" t="s">
        <v>541</v>
      </c>
      <c r="F408" s="1990"/>
      <c r="G408" s="1032">
        <f>ROUNDUP('7.1 инф'!H10*12,0)</f>
        <v>28080</v>
      </c>
      <c r="H408" s="536">
        <f t="shared" si="13"/>
        <v>28080</v>
      </c>
    </row>
    <row r="409" spans="2:8" s="338" customFormat="1" ht="26.25" customHeight="1">
      <c r="B409" s="1031">
        <v>3</v>
      </c>
      <c r="C409" s="232" t="s">
        <v>1582</v>
      </c>
      <c r="D409" s="1048" t="s">
        <v>163</v>
      </c>
      <c r="E409" s="245" t="s">
        <v>541</v>
      </c>
      <c r="F409" s="1990"/>
      <c r="G409" s="1032">
        <f>ROUNDUP('7.1 инф'!H12*12,0)</f>
        <v>140400</v>
      </c>
      <c r="H409" s="536">
        <f t="shared" si="13"/>
        <v>140400</v>
      </c>
    </row>
    <row r="410" spans="2:8" s="338" customFormat="1" ht="19.5" customHeight="1">
      <c r="B410" s="1031">
        <v>4</v>
      </c>
      <c r="C410" s="245" t="s">
        <v>1842</v>
      </c>
      <c r="D410" s="1048" t="s">
        <v>163</v>
      </c>
      <c r="E410" s="245" t="s">
        <v>541</v>
      </c>
      <c r="F410" s="1990"/>
      <c r="G410" s="1032">
        <f>ROUNDUP('7.1 инф'!H13*12,0)</f>
        <v>4800</v>
      </c>
      <c r="H410" s="536">
        <f t="shared" si="13"/>
        <v>4800</v>
      </c>
    </row>
    <row r="411" spans="2:8" s="338" customFormat="1" ht="17.25" customHeight="1">
      <c r="B411" s="1031">
        <v>5</v>
      </c>
      <c r="C411" s="245" t="s">
        <v>1698</v>
      </c>
      <c r="D411" s="1048" t="s">
        <v>163</v>
      </c>
      <c r="E411" s="245" t="s">
        <v>541</v>
      </c>
      <c r="F411" s="1990"/>
      <c r="G411" s="1032">
        <f>ROUNDUP('7.1 инф'!H15*12,0)</f>
        <v>16284</v>
      </c>
      <c r="H411" s="536">
        <f t="shared" si="13"/>
        <v>16284</v>
      </c>
    </row>
    <row r="412" spans="2:8" s="338" customFormat="1" ht="20.25" customHeight="1">
      <c r="B412" s="1031">
        <v>6</v>
      </c>
      <c r="C412" s="264" t="s">
        <v>1438</v>
      </c>
      <c r="D412" s="1048" t="s">
        <v>163</v>
      </c>
      <c r="E412" s="245" t="s">
        <v>541</v>
      </c>
      <c r="F412" s="1991"/>
      <c r="G412" s="1032">
        <f>'7.1 инф'!H22</f>
        <v>2000</v>
      </c>
      <c r="H412" s="536">
        <f t="shared" si="13"/>
        <v>2000</v>
      </c>
    </row>
    <row r="413" spans="2:8" s="338" customFormat="1" ht="18" customHeight="1">
      <c r="B413" s="1031">
        <v>7</v>
      </c>
      <c r="C413" s="245" t="s">
        <v>152</v>
      </c>
      <c r="D413" s="1048" t="s">
        <v>163</v>
      </c>
      <c r="E413" s="245" t="s">
        <v>541</v>
      </c>
      <c r="F413" s="1984"/>
      <c r="G413" s="1032">
        <f>ROUNDUP('7.1 инф'!H16*12,0)</f>
        <v>57600</v>
      </c>
      <c r="H413" s="536">
        <f t="shared" si="13"/>
        <v>57600</v>
      </c>
    </row>
    <row r="414" spans="2:8" s="338" customFormat="1" ht="26.25" customHeight="1">
      <c r="B414" s="1031">
        <v>8</v>
      </c>
      <c r="C414" s="941" t="s">
        <v>1397</v>
      </c>
      <c r="D414" s="1048" t="s">
        <v>163</v>
      </c>
      <c r="E414" s="245" t="s">
        <v>541</v>
      </c>
      <c r="F414" s="1984"/>
      <c r="G414" s="1032">
        <f>ROUNDUP('7.1 инф'!H18,0)</f>
        <v>7500</v>
      </c>
      <c r="H414" s="536">
        <f t="shared" si="13"/>
        <v>7500</v>
      </c>
    </row>
    <row r="415" spans="2:10" s="338" customFormat="1" ht="36">
      <c r="B415" s="1031">
        <v>9</v>
      </c>
      <c r="C415" s="232" t="s">
        <v>870</v>
      </c>
      <c r="D415" s="532" t="s">
        <v>1636</v>
      </c>
      <c r="E415" s="245" t="s">
        <v>541</v>
      </c>
      <c r="F415" s="1984"/>
      <c r="G415" s="1032">
        <f>ROUNDUP('7.1 инф'!H29,0)</f>
        <v>20500</v>
      </c>
      <c r="H415" s="536">
        <f t="shared" si="13"/>
        <v>20500</v>
      </c>
      <c r="I415" s="872"/>
      <c r="J415" s="872"/>
    </row>
    <row r="416" spans="2:8" s="1513" customFormat="1" ht="19.5" customHeight="1">
      <c r="B416" s="2017" t="s">
        <v>419</v>
      </c>
      <c r="C416" s="2013"/>
      <c r="D416" s="2027"/>
      <c r="E416" s="2027"/>
      <c r="F416" s="2028"/>
      <c r="G416" s="1516">
        <f>SUM(G417:G420)</f>
        <v>192100</v>
      </c>
      <c r="H416" s="1517">
        <f>SUM(H417:H420)</f>
        <v>192100</v>
      </c>
    </row>
    <row r="417" spans="2:8" s="338" customFormat="1" ht="26.25" customHeight="1">
      <c r="B417" s="1031">
        <v>1</v>
      </c>
      <c r="C417" s="264" t="s">
        <v>110</v>
      </c>
      <c r="D417" s="407" t="s">
        <v>1140</v>
      </c>
      <c r="E417" s="245" t="s">
        <v>541</v>
      </c>
      <c r="F417" s="407"/>
      <c r="G417" s="1032">
        <f>'7.2 грамот'!$G$6</f>
        <v>80000</v>
      </c>
      <c r="H417" s="536">
        <f t="shared" si="13"/>
        <v>80000</v>
      </c>
    </row>
    <row r="418" spans="2:8" s="338" customFormat="1" ht="27" customHeight="1">
      <c r="B418" s="1031">
        <v>2</v>
      </c>
      <c r="C418" s="245" t="s">
        <v>1641</v>
      </c>
      <c r="D418" s="1048" t="s">
        <v>163</v>
      </c>
      <c r="E418" s="245" t="s">
        <v>541</v>
      </c>
      <c r="F418" s="1984" t="s">
        <v>304</v>
      </c>
      <c r="G418" s="1032">
        <f>'7.2 грамот'!$G$9</f>
        <v>38100</v>
      </c>
      <c r="H418" s="536">
        <f t="shared" si="13"/>
        <v>38100</v>
      </c>
    </row>
    <row r="419" spans="2:8" s="338" customFormat="1" ht="25.5" customHeight="1">
      <c r="B419" s="1031">
        <v>3</v>
      </c>
      <c r="C419" s="245" t="s">
        <v>1640</v>
      </c>
      <c r="D419" s="1048" t="s">
        <v>163</v>
      </c>
      <c r="E419" s="245" t="s">
        <v>541</v>
      </c>
      <c r="F419" s="1984"/>
      <c r="G419" s="1032">
        <f>'7.2 грамот'!$G$14</f>
        <v>6000</v>
      </c>
      <c r="H419" s="536">
        <f t="shared" si="13"/>
        <v>6000</v>
      </c>
    </row>
    <row r="420" spans="2:8" s="338" customFormat="1" ht="24.75" customHeight="1">
      <c r="B420" s="1031">
        <v>4</v>
      </c>
      <c r="C420" s="264" t="s">
        <v>1193</v>
      </c>
      <c r="D420" s="407" t="s">
        <v>1636</v>
      </c>
      <c r="E420" s="245" t="s">
        <v>541</v>
      </c>
      <c r="F420" s="1984"/>
      <c r="G420" s="1032">
        <f>'7.2 грамот'!$G$16</f>
        <v>68000</v>
      </c>
      <c r="H420" s="536">
        <f t="shared" si="13"/>
        <v>68000</v>
      </c>
    </row>
    <row r="421" spans="2:8" s="1317" customFormat="1" ht="23.25" customHeight="1">
      <c r="B421" s="2030" t="s">
        <v>420</v>
      </c>
      <c r="C421" s="2031"/>
      <c r="D421" s="2031"/>
      <c r="E421" s="2031"/>
      <c r="F421" s="2032"/>
      <c r="G421" s="1318">
        <f>SUM(G422:G426)</f>
        <v>1470131</v>
      </c>
      <c r="H421" s="1319">
        <f>SUM(H422:H426)</f>
        <v>1470131</v>
      </c>
    </row>
    <row r="422" spans="2:8" s="338" customFormat="1" ht="26.25" customHeight="1">
      <c r="B422" s="1052" t="s">
        <v>209</v>
      </c>
      <c r="C422" s="406" t="s">
        <v>307</v>
      </c>
      <c r="D422" s="407" t="s">
        <v>1140</v>
      </c>
      <c r="E422" s="245" t="s">
        <v>541</v>
      </c>
      <c r="F422" s="2004" t="s">
        <v>1841</v>
      </c>
      <c r="G422" s="1032">
        <f>'Мат.техн.база '!H378-'Мат.техн.база '!H249-'Мат.техн.база '!H236</f>
        <v>522764</v>
      </c>
      <c r="H422" s="536">
        <f t="shared" si="13"/>
        <v>522764</v>
      </c>
    </row>
    <row r="423" spans="2:8" s="338" customFormat="1" ht="49.5" customHeight="1">
      <c r="B423" s="1056" t="s">
        <v>210</v>
      </c>
      <c r="C423" s="438" t="s">
        <v>1320</v>
      </c>
      <c r="D423" s="407" t="s">
        <v>163</v>
      </c>
      <c r="E423" s="245" t="s">
        <v>541</v>
      </c>
      <c r="F423" s="2004"/>
      <c r="G423" s="1032">
        <f>'8 спортинв'!D5</f>
        <v>652150</v>
      </c>
      <c r="H423" s="536">
        <f t="shared" si="13"/>
        <v>652150</v>
      </c>
    </row>
    <row r="424" spans="2:8" s="338" customFormat="1" ht="36" customHeight="1">
      <c r="B424" s="1052" t="s">
        <v>421</v>
      </c>
      <c r="C424" s="438" t="s">
        <v>1321</v>
      </c>
      <c r="D424" s="407" t="s">
        <v>163</v>
      </c>
      <c r="E424" s="245" t="s">
        <v>541</v>
      </c>
      <c r="F424" s="2004"/>
      <c r="G424" s="1032">
        <f>'8 спортинв'!G5</f>
        <v>30000</v>
      </c>
      <c r="H424" s="536">
        <f t="shared" si="13"/>
        <v>30000</v>
      </c>
    </row>
    <row r="425" spans="2:8" s="338" customFormat="1" ht="36" customHeight="1">
      <c r="B425" s="1056" t="s">
        <v>422</v>
      </c>
      <c r="C425" s="438" t="s">
        <v>896</v>
      </c>
      <c r="D425" s="407" t="s">
        <v>163</v>
      </c>
      <c r="E425" s="245" t="s">
        <v>541</v>
      </c>
      <c r="F425" s="1045"/>
      <c r="G425" s="1032">
        <f>'Мат.техн.база '!H236</f>
        <v>58742</v>
      </c>
      <c r="H425" s="536">
        <f t="shared" si="13"/>
        <v>58742</v>
      </c>
    </row>
    <row r="426" spans="2:8" s="338" customFormat="1" ht="25.5" customHeight="1">
      <c r="B426" s="1052" t="s">
        <v>423</v>
      </c>
      <c r="C426" s="406" t="s">
        <v>897</v>
      </c>
      <c r="D426" s="407" t="s">
        <v>163</v>
      </c>
      <c r="E426" s="245" t="s">
        <v>541</v>
      </c>
      <c r="F426" s="1045"/>
      <c r="G426" s="1032">
        <f>'Мат.техн.база '!H249+'Мат.техн.база '!M249+'Мат.техн.база '!J378+'Мат.техн.база '!K378</f>
        <v>206475</v>
      </c>
      <c r="H426" s="1029">
        <f t="shared" si="13"/>
        <v>206475</v>
      </c>
    </row>
    <row r="427" spans="2:10" s="283" customFormat="1" ht="19.5" customHeight="1" thickBot="1">
      <c r="B427" s="1123"/>
      <c r="C427" s="1124" t="s">
        <v>484</v>
      </c>
      <c r="D427" s="1125"/>
      <c r="E427" s="1124"/>
      <c r="F427" s="1124"/>
      <c r="G427" s="1126">
        <f>G8+G71+G196+G272+G392+G396+G405+G421</f>
        <v>9000292</v>
      </c>
      <c r="H427" s="1633">
        <f>H8+H71+H196+H272+H392+H396+H405+H421</f>
        <v>9000292</v>
      </c>
      <c r="J427" s="546"/>
    </row>
    <row r="428" spans="2:8" s="139" customFormat="1" ht="12">
      <c r="B428" s="1592"/>
      <c r="C428" s="1114"/>
      <c r="D428" s="273"/>
      <c r="E428" s="106"/>
      <c r="F428" s="106"/>
      <c r="G428" s="1636"/>
      <c r="H428" s="548"/>
    </row>
    <row r="429" spans="2:7" s="139" customFormat="1" ht="12.75" thickBot="1">
      <c r="B429" s="1637"/>
      <c r="C429" s="128"/>
      <c r="D429" s="180"/>
      <c r="E429" s="128"/>
      <c r="F429" s="1638"/>
      <c r="G429" s="1639"/>
    </row>
    <row r="430" spans="4:8" s="139" customFormat="1" ht="12">
      <c r="D430" s="182"/>
      <c r="G430" s="547"/>
      <c r="H430" s="548"/>
    </row>
    <row r="432" spans="4:8" s="139" customFormat="1" ht="12">
      <c r="D432" s="182"/>
      <c r="G432" s="547"/>
      <c r="H432" s="548"/>
    </row>
    <row r="433" spans="4:8" s="139" customFormat="1" ht="12">
      <c r="D433" s="182"/>
      <c r="G433" s="547"/>
      <c r="H433" s="548"/>
    </row>
    <row r="434" spans="4:8" s="139" customFormat="1" ht="12">
      <c r="D434" s="182"/>
      <c r="G434" s="547"/>
      <c r="H434" s="548"/>
    </row>
    <row r="435" spans="4:8" s="139" customFormat="1" ht="12">
      <c r="D435" s="182"/>
      <c r="G435" s="547"/>
      <c r="H435" s="548"/>
    </row>
    <row r="436" spans="4:8" s="139" customFormat="1" ht="12">
      <c r="D436" s="182"/>
      <c r="G436" s="547"/>
      <c r="H436" s="548"/>
    </row>
    <row r="437" spans="4:8" s="139" customFormat="1" ht="12">
      <c r="D437" s="182"/>
      <c r="G437" s="547"/>
      <c r="H437" s="548"/>
    </row>
    <row r="438" spans="4:8" s="139" customFormat="1" ht="12">
      <c r="D438" s="182"/>
      <c r="G438" s="547"/>
      <c r="H438" s="548"/>
    </row>
    <row r="439" spans="4:8" s="139" customFormat="1" ht="12">
      <c r="D439" s="182"/>
      <c r="G439" s="547"/>
      <c r="H439" s="548"/>
    </row>
    <row r="440" spans="4:8" s="139" customFormat="1" ht="12">
      <c r="D440" s="182"/>
      <c r="G440" s="547"/>
      <c r="H440" s="548"/>
    </row>
    <row r="441" spans="4:8" s="139" customFormat="1" ht="12">
      <c r="D441" s="182"/>
      <c r="G441" s="547"/>
      <c r="H441" s="548"/>
    </row>
    <row r="442" spans="4:8" s="139" customFormat="1" ht="12">
      <c r="D442" s="182"/>
      <c r="G442" s="547"/>
      <c r="H442" s="548"/>
    </row>
    <row r="443" spans="4:8" s="139" customFormat="1" ht="12">
      <c r="D443" s="182"/>
      <c r="G443" s="547"/>
      <c r="H443" s="548"/>
    </row>
    <row r="444" spans="4:8" s="139" customFormat="1" ht="12">
      <c r="D444" s="182"/>
      <c r="G444" s="547"/>
      <c r="H444" s="548"/>
    </row>
    <row r="445" spans="4:8" s="139" customFormat="1" ht="12">
      <c r="D445" s="182"/>
      <c r="G445" s="547"/>
      <c r="H445" s="548"/>
    </row>
    <row r="446" spans="4:8" s="139" customFormat="1" ht="12">
      <c r="D446" s="182"/>
      <c r="G446" s="547"/>
      <c r="H446" s="548"/>
    </row>
    <row r="447" spans="4:8" s="139" customFormat="1" ht="12">
      <c r="D447" s="182"/>
      <c r="G447" s="547"/>
      <c r="H447" s="548"/>
    </row>
    <row r="448" spans="4:8" s="139" customFormat="1" ht="12">
      <c r="D448" s="182"/>
      <c r="G448" s="547"/>
      <c r="H448" s="548"/>
    </row>
    <row r="449" spans="4:8" s="139" customFormat="1" ht="12">
      <c r="D449" s="182"/>
      <c r="G449" s="547"/>
      <c r="H449" s="548"/>
    </row>
    <row r="450" spans="4:8" s="139" customFormat="1" ht="12">
      <c r="D450" s="182"/>
      <c r="G450" s="547"/>
      <c r="H450" s="548"/>
    </row>
    <row r="451" spans="4:8" s="139" customFormat="1" ht="12">
      <c r="D451" s="182"/>
      <c r="G451" s="547"/>
      <c r="H451" s="548"/>
    </row>
    <row r="452" spans="4:8" s="139" customFormat="1" ht="12">
      <c r="D452" s="182"/>
      <c r="G452" s="547"/>
      <c r="H452" s="548"/>
    </row>
    <row r="453" spans="4:8" s="139" customFormat="1" ht="12">
      <c r="D453" s="182"/>
      <c r="G453" s="547"/>
      <c r="H453" s="548"/>
    </row>
    <row r="454" spans="4:8" s="139" customFormat="1" ht="12">
      <c r="D454" s="182"/>
      <c r="G454" s="547"/>
      <c r="H454" s="548"/>
    </row>
    <row r="455" spans="4:8" s="139" customFormat="1" ht="12">
      <c r="D455" s="182"/>
      <c r="G455" s="547"/>
      <c r="H455" s="547"/>
    </row>
    <row r="456" spans="4:8" s="139" customFormat="1" ht="12">
      <c r="D456" s="182"/>
      <c r="G456" s="547"/>
      <c r="H456" s="547"/>
    </row>
    <row r="457" spans="4:8" s="139" customFormat="1" ht="12">
      <c r="D457" s="182"/>
      <c r="G457" s="547"/>
      <c r="H457" s="547"/>
    </row>
    <row r="458" spans="4:8" s="139" customFormat="1" ht="12">
      <c r="D458" s="182"/>
      <c r="G458" s="547"/>
      <c r="H458" s="547"/>
    </row>
    <row r="459" spans="4:8" s="139" customFormat="1" ht="12">
      <c r="D459" s="182"/>
      <c r="G459" s="547"/>
      <c r="H459" s="547"/>
    </row>
    <row r="460" spans="4:8" s="139" customFormat="1" ht="12">
      <c r="D460" s="182"/>
      <c r="G460" s="547"/>
      <c r="H460" s="547"/>
    </row>
    <row r="461" spans="4:8" s="139" customFormat="1" ht="12">
      <c r="D461" s="182"/>
      <c r="G461" s="547"/>
      <c r="H461" s="547"/>
    </row>
    <row r="462" spans="4:8" s="139" customFormat="1" ht="12">
      <c r="D462" s="182"/>
      <c r="G462" s="547"/>
      <c r="H462" s="547"/>
    </row>
    <row r="463" spans="4:8" s="139" customFormat="1" ht="12">
      <c r="D463" s="182"/>
      <c r="G463" s="547"/>
      <c r="H463" s="547"/>
    </row>
    <row r="464" spans="4:8" s="139" customFormat="1" ht="12">
      <c r="D464" s="182"/>
      <c r="G464" s="547"/>
      <c r="H464" s="547"/>
    </row>
    <row r="465" spans="4:8" s="139" customFormat="1" ht="12">
      <c r="D465" s="182"/>
      <c r="G465" s="547"/>
      <c r="H465" s="547"/>
    </row>
    <row r="466" spans="4:8" s="139" customFormat="1" ht="12">
      <c r="D466" s="182"/>
      <c r="G466" s="547"/>
      <c r="H466" s="547"/>
    </row>
    <row r="467" spans="4:8" s="139" customFormat="1" ht="12">
      <c r="D467" s="182"/>
      <c r="G467" s="547"/>
      <c r="H467" s="547"/>
    </row>
    <row r="468" spans="4:8" s="139" customFormat="1" ht="12">
      <c r="D468" s="182"/>
      <c r="G468" s="547"/>
      <c r="H468" s="547"/>
    </row>
    <row r="469" spans="4:8" s="139" customFormat="1" ht="12">
      <c r="D469" s="182"/>
      <c r="G469" s="547"/>
      <c r="H469" s="547"/>
    </row>
    <row r="470" spans="4:8" s="139" customFormat="1" ht="12">
      <c r="D470" s="182"/>
      <c r="G470" s="547"/>
      <c r="H470" s="547"/>
    </row>
    <row r="471" spans="4:8" s="139" customFormat="1" ht="12">
      <c r="D471" s="182"/>
      <c r="G471" s="547"/>
      <c r="H471" s="547"/>
    </row>
    <row r="472" spans="4:8" s="139" customFormat="1" ht="12">
      <c r="D472" s="182"/>
      <c r="G472" s="547"/>
      <c r="H472" s="547"/>
    </row>
    <row r="473" spans="4:8" s="139" customFormat="1" ht="12">
      <c r="D473" s="182"/>
      <c r="G473" s="547"/>
      <c r="H473" s="547"/>
    </row>
    <row r="474" spans="4:8" s="139" customFormat="1" ht="12">
      <c r="D474" s="182"/>
      <c r="G474" s="547"/>
      <c r="H474" s="547"/>
    </row>
    <row r="475" spans="4:8" s="139" customFormat="1" ht="12">
      <c r="D475" s="182"/>
      <c r="G475" s="547"/>
      <c r="H475" s="547"/>
    </row>
    <row r="476" spans="4:8" s="139" customFormat="1" ht="12">
      <c r="D476" s="182"/>
      <c r="G476" s="547"/>
      <c r="H476" s="547"/>
    </row>
    <row r="477" spans="4:8" s="139" customFormat="1" ht="12">
      <c r="D477" s="182"/>
      <c r="G477" s="547"/>
      <c r="H477" s="547"/>
    </row>
    <row r="478" spans="4:8" s="139" customFormat="1" ht="12">
      <c r="D478" s="182"/>
      <c r="G478" s="547"/>
      <c r="H478" s="547"/>
    </row>
    <row r="479" spans="4:8" s="139" customFormat="1" ht="12">
      <c r="D479" s="182"/>
      <c r="G479" s="547"/>
      <c r="H479" s="547"/>
    </row>
    <row r="480" spans="4:8" s="139" customFormat="1" ht="12">
      <c r="D480" s="182"/>
      <c r="G480" s="547"/>
      <c r="H480" s="547"/>
    </row>
    <row r="481" spans="4:8" s="139" customFormat="1" ht="12">
      <c r="D481" s="182"/>
      <c r="G481" s="547"/>
      <c r="H481" s="547"/>
    </row>
    <row r="482" spans="4:8" s="139" customFormat="1" ht="12">
      <c r="D482" s="182"/>
      <c r="G482" s="547"/>
      <c r="H482" s="547"/>
    </row>
    <row r="483" spans="4:8" s="139" customFormat="1" ht="12">
      <c r="D483" s="182"/>
      <c r="G483" s="547"/>
      <c r="H483" s="547"/>
    </row>
    <row r="484" spans="4:8" s="139" customFormat="1" ht="12">
      <c r="D484" s="182"/>
      <c r="G484" s="547"/>
      <c r="H484" s="547"/>
    </row>
    <row r="485" spans="4:8" s="139" customFormat="1" ht="12">
      <c r="D485" s="182"/>
      <c r="G485" s="547"/>
      <c r="H485" s="547"/>
    </row>
    <row r="486" spans="4:8" s="139" customFormat="1" ht="12">
      <c r="D486" s="182"/>
      <c r="G486" s="547"/>
      <c r="H486" s="547"/>
    </row>
    <row r="487" spans="4:8" s="139" customFormat="1" ht="12">
      <c r="D487" s="182"/>
      <c r="G487" s="547"/>
      <c r="H487" s="547"/>
    </row>
    <row r="488" spans="4:8" s="139" customFormat="1" ht="12">
      <c r="D488" s="182"/>
      <c r="G488" s="547"/>
      <c r="H488" s="547"/>
    </row>
    <row r="489" spans="4:8" s="139" customFormat="1" ht="12">
      <c r="D489" s="182"/>
      <c r="G489" s="547"/>
      <c r="H489" s="547"/>
    </row>
    <row r="490" spans="4:8" s="139" customFormat="1" ht="12">
      <c r="D490" s="182"/>
      <c r="G490" s="547"/>
      <c r="H490" s="547"/>
    </row>
    <row r="491" spans="4:8" s="139" customFormat="1" ht="12">
      <c r="D491" s="182"/>
      <c r="G491" s="547"/>
      <c r="H491" s="547"/>
    </row>
    <row r="492" spans="4:8" s="139" customFormat="1" ht="12">
      <c r="D492" s="182"/>
      <c r="G492" s="547"/>
      <c r="H492" s="547"/>
    </row>
    <row r="493" spans="4:8" s="139" customFormat="1" ht="12">
      <c r="D493" s="182"/>
      <c r="G493" s="547"/>
      <c r="H493" s="547"/>
    </row>
    <row r="494" spans="4:8" s="139" customFormat="1" ht="12">
      <c r="D494" s="182"/>
      <c r="G494" s="547"/>
      <c r="H494" s="547"/>
    </row>
    <row r="495" spans="4:8" s="139" customFormat="1" ht="12">
      <c r="D495" s="182"/>
      <c r="G495" s="547"/>
      <c r="H495" s="547"/>
    </row>
    <row r="496" spans="4:8" s="139" customFormat="1" ht="12">
      <c r="D496" s="182"/>
      <c r="G496" s="547"/>
      <c r="H496" s="547"/>
    </row>
    <row r="497" spans="4:8" s="139" customFormat="1" ht="12">
      <c r="D497" s="182"/>
      <c r="G497" s="547"/>
      <c r="H497" s="547"/>
    </row>
    <row r="498" spans="4:8" s="139" customFormat="1" ht="12">
      <c r="D498" s="182"/>
      <c r="G498" s="547"/>
      <c r="H498" s="547"/>
    </row>
    <row r="499" spans="4:8" s="139" customFormat="1" ht="12">
      <c r="D499" s="182"/>
      <c r="G499" s="547"/>
      <c r="H499" s="547"/>
    </row>
    <row r="500" spans="4:8" s="139" customFormat="1" ht="12">
      <c r="D500" s="182"/>
      <c r="G500" s="547"/>
      <c r="H500" s="547"/>
    </row>
    <row r="501" spans="4:8" s="139" customFormat="1" ht="12">
      <c r="D501" s="182"/>
      <c r="G501" s="547"/>
      <c r="H501" s="547"/>
    </row>
    <row r="502" spans="4:8" s="139" customFormat="1" ht="12">
      <c r="D502" s="182"/>
      <c r="G502" s="547"/>
      <c r="H502" s="547"/>
    </row>
    <row r="503" spans="4:8" s="139" customFormat="1" ht="12">
      <c r="D503" s="182"/>
      <c r="G503" s="547"/>
      <c r="H503" s="547"/>
    </row>
    <row r="504" spans="4:8" s="139" customFormat="1" ht="12">
      <c r="D504" s="182"/>
      <c r="G504" s="547"/>
      <c r="H504" s="547"/>
    </row>
    <row r="505" spans="4:8" s="139" customFormat="1" ht="12">
      <c r="D505" s="182"/>
      <c r="G505" s="547"/>
      <c r="H505" s="547"/>
    </row>
    <row r="506" spans="4:8" s="139" customFormat="1" ht="12">
      <c r="D506" s="182"/>
      <c r="G506" s="547"/>
      <c r="H506" s="547"/>
    </row>
    <row r="507" spans="4:8" s="139" customFormat="1" ht="12">
      <c r="D507" s="182"/>
      <c r="G507" s="547"/>
      <c r="H507" s="547"/>
    </row>
    <row r="508" spans="4:8" s="139" customFormat="1" ht="12">
      <c r="D508" s="182"/>
      <c r="G508" s="547"/>
      <c r="H508" s="547"/>
    </row>
    <row r="509" spans="4:8" s="139" customFormat="1" ht="12">
      <c r="D509" s="182"/>
      <c r="G509" s="547"/>
      <c r="H509" s="547"/>
    </row>
    <row r="510" spans="4:8" s="139" customFormat="1" ht="12">
      <c r="D510" s="182"/>
      <c r="G510" s="547"/>
      <c r="H510" s="547"/>
    </row>
    <row r="511" spans="4:8" s="139" customFormat="1" ht="12">
      <c r="D511" s="182"/>
      <c r="G511" s="547"/>
      <c r="H511" s="547"/>
    </row>
    <row r="512" spans="4:8" s="139" customFormat="1" ht="12">
      <c r="D512" s="182"/>
      <c r="G512" s="547"/>
      <c r="H512" s="547"/>
    </row>
    <row r="513" spans="4:8" s="139" customFormat="1" ht="12">
      <c r="D513" s="182"/>
      <c r="G513" s="547"/>
      <c r="H513" s="547"/>
    </row>
    <row r="514" spans="4:8" s="139" customFormat="1" ht="12">
      <c r="D514" s="182"/>
      <c r="G514" s="547"/>
      <c r="H514" s="547"/>
    </row>
    <row r="515" spans="4:8" s="139" customFormat="1" ht="12">
      <c r="D515" s="182"/>
      <c r="G515" s="547"/>
      <c r="H515" s="547"/>
    </row>
    <row r="516" spans="4:8" s="139" customFormat="1" ht="12">
      <c r="D516" s="182"/>
      <c r="G516" s="547"/>
      <c r="H516" s="547"/>
    </row>
    <row r="517" spans="4:8" s="139" customFormat="1" ht="12">
      <c r="D517" s="182"/>
      <c r="G517" s="547"/>
      <c r="H517" s="547"/>
    </row>
    <row r="518" spans="4:8" s="139" customFormat="1" ht="12">
      <c r="D518" s="182"/>
      <c r="G518" s="547"/>
      <c r="H518" s="547"/>
    </row>
    <row r="519" spans="4:8" s="139" customFormat="1" ht="12">
      <c r="D519" s="182"/>
      <c r="G519" s="547"/>
      <c r="H519" s="547"/>
    </row>
    <row r="520" spans="4:8" s="139" customFormat="1" ht="12">
      <c r="D520" s="182"/>
      <c r="G520" s="547"/>
      <c r="H520" s="547"/>
    </row>
    <row r="521" spans="4:8" s="139" customFormat="1" ht="12">
      <c r="D521" s="182"/>
      <c r="G521" s="547"/>
      <c r="H521" s="547"/>
    </row>
    <row r="522" spans="4:8" s="139" customFormat="1" ht="12">
      <c r="D522" s="182"/>
      <c r="G522" s="547"/>
      <c r="H522" s="547"/>
    </row>
    <row r="523" spans="4:8" s="139" customFormat="1" ht="12">
      <c r="D523" s="182"/>
      <c r="G523" s="547"/>
      <c r="H523" s="547"/>
    </row>
    <row r="524" spans="4:8" s="139" customFormat="1" ht="12">
      <c r="D524" s="182"/>
      <c r="G524" s="547"/>
      <c r="H524" s="547"/>
    </row>
    <row r="525" spans="4:8" s="139" customFormat="1" ht="12">
      <c r="D525" s="182"/>
      <c r="G525" s="547"/>
      <c r="H525" s="547"/>
    </row>
    <row r="526" spans="4:8" s="139" customFormat="1" ht="12">
      <c r="D526" s="182"/>
      <c r="G526" s="547"/>
      <c r="H526" s="547"/>
    </row>
    <row r="527" spans="4:8" s="139" customFormat="1" ht="12">
      <c r="D527" s="182"/>
      <c r="G527" s="547"/>
      <c r="H527" s="547"/>
    </row>
    <row r="528" spans="4:8" s="139" customFormat="1" ht="12">
      <c r="D528" s="182"/>
      <c r="G528" s="547"/>
      <c r="H528" s="547"/>
    </row>
    <row r="529" spans="4:8" s="139" customFormat="1" ht="12">
      <c r="D529" s="182"/>
      <c r="G529" s="547"/>
      <c r="H529" s="547"/>
    </row>
    <row r="530" spans="4:8" s="139" customFormat="1" ht="12">
      <c r="D530" s="182"/>
      <c r="G530" s="547"/>
      <c r="H530" s="547"/>
    </row>
    <row r="531" spans="4:8" s="139" customFormat="1" ht="12">
      <c r="D531" s="182"/>
      <c r="G531" s="547"/>
      <c r="H531" s="547"/>
    </row>
    <row r="532" spans="4:8" s="139" customFormat="1" ht="12">
      <c r="D532" s="182"/>
      <c r="G532" s="547"/>
      <c r="H532" s="547"/>
    </row>
    <row r="533" spans="4:8" s="139" customFormat="1" ht="12">
      <c r="D533" s="182"/>
      <c r="G533" s="547"/>
      <c r="H533" s="547"/>
    </row>
    <row r="534" spans="4:8" s="139" customFormat="1" ht="12">
      <c r="D534" s="182"/>
      <c r="G534" s="547"/>
      <c r="H534" s="547"/>
    </row>
    <row r="535" spans="4:8" s="139" customFormat="1" ht="12">
      <c r="D535" s="182"/>
      <c r="G535" s="547"/>
      <c r="H535" s="547"/>
    </row>
    <row r="536" spans="4:8" s="139" customFormat="1" ht="12">
      <c r="D536" s="182"/>
      <c r="G536" s="547"/>
      <c r="H536" s="547"/>
    </row>
    <row r="537" spans="4:8" s="139" customFormat="1" ht="12">
      <c r="D537" s="182"/>
      <c r="G537" s="547"/>
      <c r="H537" s="547"/>
    </row>
    <row r="538" spans="4:8" s="139" customFormat="1" ht="12">
      <c r="D538" s="182"/>
      <c r="G538" s="547"/>
      <c r="H538" s="547"/>
    </row>
    <row r="539" spans="4:8" s="139" customFormat="1" ht="12">
      <c r="D539" s="182"/>
      <c r="G539" s="547"/>
      <c r="H539" s="547"/>
    </row>
    <row r="540" spans="4:8" s="139" customFormat="1" ht="12">
      <c r="D540" s="182"/>
      <c r="G540" s="547"/>
      <c r="H540" s="547"/>
    </row>
    <row r="541" spans="4:8" s="139" customFormat="1" ht="12">
      <c r="D541" s="182"/>
      <c r="G541" s="547"/>
      <c r="H541" s="547"/>
    </row>
    <row r="542" spans="4:8" s="139" customFormat="1" ht="12">
      <c r="D542" s="182"/>
      <c r="G542" s="547"/>
      <c r="H542" s="547"/>
    </row>
    <row r="543" spans="4:8" s="139" customFormat="1" ht="12">
      <c r="D543" s="182"/>
      <c r="G543" s="547"/>
      <c r="H543" s="547"/>
    </row>
    <row r="544" spans="4:8" s="139" customFormat="1" ht="12">
      <c r="D544" s="182"/>
      <c r="G544" s="547"/>
      <c r="H544" s="547"/>
    </row>
    <row r="545" spans="4:8" s="139" customFormat="1" ht="12">
      <c r="D545" s="182"/>
      <c r="G545" s="547"/>
      <c r="H545" s="547"/>
    </row>
    <row r="546" spans="4:8" s="139" customFormat="1" ht="12">
      <c r="D546" s="182"/>
      <c r="G546" s="547"/>
      <c r="H546" s="547"/>
    </row>
    <row r="547" spans="4:8" s="139" customFormat="1" ht="12">
      <c r="D547" s="182"/>
      <c r="G547" s="547"/>
      <c r="H547" s="547"/>
    </row>
    <row r="548" spans="4:8" s="139" customFormat="1" ht="12">
      <c r="D548" s="182"/>
      <c r="G548" s="547"/>
      <c r="H548" s="547"/>
    </row>
    <row r="549" spans="4:8" s="139" customFormat="1" ht="12">
      <c r="D549" s="182"/>
      <c r="G549" s="547"/>
      <c r="H549" s="547"/>
    </row>
    <row r="550" spans="4:8" s="139" customFormat="1" ht="12">
      <c r="D550" s="182"/>
      <c r="G550" s="547"/>
      <c r="H550" s="547"/>
    </row>
    <row r="551" spans="4:8" s="139" customFormat="1" ht="12">
      <c r="D551" s="182"/>
      <c r="G551" s="547"/>
      <c r="H551" s="547"/>
    </row>
    <row r="552" spans="4:8" s="139" customFormat="1" ht="12">
      <c r="D552" s="182"/>
      <c r="G552" s="547"/>
      <c r="H552" s="547"/>
    </row>
    <row r="553" spans="4:8" s="139" customFormat="1" ht="12">
      <c r="D553" s="182"/>
      <c r="G553" s="547"/>
      <c r="H553" s="547"/>
    </row>
    <row r="554" spans="4:8" s="139" customFormat="1" ht="12">
      <c r="D554" s="182"/>
      <c r="G554" s="547"/>
      <c r="H554" s="547"/>
    </row>
    <row r="555" spans="4:8" s="139" customFormat="1" ht="12">
      <c r="D555" s="182"/>
      <c r="G555" s="547"/>
      <c r="H555" s="547"/>
    </row>
    <row r="556" spans="4:8" s="139" customFormat="1" ht="12">
      <c r="D556" s="182"/>
      <c r="G556" s="547"/>
      <c r="H556" s="547"/>
    </row>
    <row r="557" spans="4:8" s="139" customFormat="1" ht="12">
      <c r="D557" s="182"/>
      <c r="G557" s="547"/>
      <c r="H557" s="547"/>
    </row>
    <row r="558" spans="4:8" s="139" customFormat="1" ht="12">
      <c r="D558" s="182"/>
      <c r="G558" s="547"/>
      <c r="H558" s="547"/>
    </row>
    <row r="559" spans="4:8" s="139" customFormat="1" ht="12">
      <c r="D559" s="182"/>
      <c r="G559" s="547"/>
      <c r="H559" s="547"/>
    </row>
    <row r="560" spans="4:8" s="139" customFormat="1" ht="12">
      <c r="D560" s="182"/>
      <c r="G560" s="547"/>
      <c r="H560" s="547"/>
    </row>
    <row r="561" spans="4:8" s="139" customFormat="1" ht="12">
      <c r="D561" s="182"/>
      <c r="G561" s="547"/>
      <c r="H561" s="547"/>
    </row>
    <row r="562" spans="4:8" s="139" customFormat="1" ht="12">
      <c r="D562" s="182"/>
      <c r="G562" s="547"/>
      <c r="H562" s="547"/>
    </row>
    <row r="563" spans="4:8" s="139" customFormat="1" ht="12">
      <c r="D563" s="182"/>
      <c r="G563" s="547"/>
      <c r="H563" s="547"/>
    </row>
    <row r="564" spans="4:8" s="139" customFormat="1" ht="12">
      <c r="D564" s="182"/>
      <c r="G564" s="547"/>
      <c r="H564" s="547"/>
    </row>
    <row r="565" spans="4:8" s="139" customFormat="1" ht="12">
      <c r="D565" s="182"/>
      <c r="G565" s="547"/>
      <c r="H565" s="547"/>
    </row>
    <row r="566" spans="4:8" s="139" customFormat="1" ht="12">
      <c r="D566" s="182"/>
      <c r="G566" s="547"/>
      <c r="H566" s="547"/>
    </row>
    <row r="567" spans="4:8" s="139" customFormat="1" ht="12">
      <c r="D567" s="182"/>
      <c r="G567" s="547"/>
      <c r="H567" s="547"/>
    </row>
    <row r="568" spans="4:8" s="139" customFormat="1" ht="12">
      <c r="D568" s="182"/>
      <c r="G568" s="547"/>
      <c r="H568" s="547"/>
    </row>
  </sheetData>
  <mergeCells count="74">
    <mergeCell ref="F422:F424"/>
    <mergeCell ref="F407:F412"/>
    <mergeCell ref="B392:F392"/>
    <mergeCell ref="B421:F421"/>
    <mergeCell ref="B416:F416"/>
    <mergeCell ref="F418:F420"/>
    <mergeCell ref="F413:F415"/>
    <mergeCell ref="F394:F395"/>
    <mergeCell ref="B406:F406"/>
    <mergeCell ref="B405:F405"/>
    <mergeCell ref="H5:H7"/>
    <mergeCell ref="B8:F8"/>
    <mergeCell ref="B9:F9"/>
    <mergeCell ref="B13:F13"/>
    <mergeCell ref="F5:F7"/>
    <mergeCell ref="G6:G7"/>
    <mergeCell ref="F10:F12"/>
    <mergeCell ref="E5:E7"/>
    <mergeCell ref="D5:D7"/>
    <mergeCell ref="B397:F397"/>
    <mergeCell ref="F400:F403"/>
    <mergeCell ref="F388:F391"/>
    <mergeCell ref="B396:F396"/>
    <mergeCell ref="B386:F386"/>
    <mergeCell ref="F369:F381"/>
    <mergeCell ref="F342:F353"/>
    <mergeCell ref="B393:F393"/>
    <mergeCell ref="F275:F278"/>
    <mergeCell ref="B273:F273"/>
    <mergeCell ref="F327:F340"/>
    <mergeCell ref="F306:F317"/>
    <mergeCell ref="F73:F84"/>
    <mergeCell ref="B192:F192"/>
    <mergeCell ref="F225:F227"/>
    <mergeCell ref="B228:F228"/>
    <mergeCell ref="B197:F197"/>
    <mergeCell ref="B85:F85"/>
    <mergeCell ref="B221:F221"/>
    <mergeCell ref="E159:E160"/>
    <mergeCell ref="F106:F111"/>
    <mergeCell ref="C196:F196"/>
    <mergeCell ref="B56:F56"/>
    <mergeCell ref="F69:F70"/>
    <mergeCell ref="B68:F68"/>
    <mergeCell ref="F62:F67"/>
    <mergeCell ref="B20:F20"/>
    <mergeCell ref="F28:F38"/>
    <mergeCell ref="B42:F42"/>
    <mergeCell ref="F51:F55"/>
    <mergeCell ref="B50:F50"/>
    <mergeCell ref="F91:F94"/>
    <mergeCell ref="E91:E92"/>
    <mergeCell ref="E93:E94"/>
    <mergeCell ref="F2:G2"/>
    <mergeCell ref="F14:F19"/>
    <mergeCell ref="F57:F59"/>
    <mergeCell ref="B61:F61"/>
    <mergeCell ref="B3:G3"/>
    <mergeCell ref="B5:B7"/>
    <mergeCell ref="C5:C7"/>
    <mergeCell ref="E178:E180"/>
    <mergeCell ref="F193:F195"/>
    <mergeCell ref="F200:F206"/>
    <mergeCell ref="B71:F71"/>
    <mergeCell ref="B72:F72"/>
    <mergeCell ref="F165:F169"/>
    <mergeCell ref="E119:E121"/>
    <mergeCell ref="E97:E98"/>
    <mergeCell ref="F99:F103"/>
    <mergeCell ref="F87:F90"/>
    <mergeCell ref="F222:F223"/>
    <mergeCell ref="B272:F272"/>
    <mergeCell ref="B260:F260"/>
    <mergeCell ref="E187:E188"/>
  </mergeCells>
  <printOptions horizontalCentered="1"/>
  <pageMargins left="0.1968503937007874" right="0.3937007874015748" top="0.7874015748031497" bottom="0.1968503937007874" header="0" footer="0"/>
  <pageSetup firstPageNumber="22" useFirstPageNumber="1" horizontalDpi="600" verticalDpi="600" orientation="portrait" paperSize="9" scale="80" r:id="rId1"/>
  <rowBreaks count="9" manualBreakCount="9">
    <brk id="43" max="6" man="1"/>
    <brk id="80" max="6" man="1"/>
    <brk id="118" max="6" man="1"/>
    <brk id="161" max="6" man="1"/>
    <brk id="199" max="6" man="1"/>
    <brk id="354" max="6" man="1"/>
    <brk id="391" max="6" man="1"/>
    <brk id="404" max="6" man="1"/>
    <brk id="429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0"/>
  <dimension ref="A1:U37"/>
  <sheetViews>
    <sheetView view="pageBreakPreview" zoomScale="75" zoomScaleSheetLayoutView="75" workbookViewId="0" topLeftCell="A1">
      <pane xSplit="1" ySplit="5" topLeftCell="G1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3" sqref="A3:R3"/>
    </sheetView>
  </sheetViews>
  <sheetFormatPr defaultColWidth="9.125" defaultRowHeight="12.75"/>
  <cols>
    <col min="1" max="1" width="11.25390625" style="477" customWidth="1"/>
    <col min="2" max="2" width="9.875" style="0" customWidth="1"/>
    <col min="3" max="3" width="9.375" style="0" customWidth="1"/>
    <col min="4" max="4" width="9.25390625" style="0" customWidth="1"/>
    <col min="5" max="5" width="10.625" style="0" customWidth="1"/>
    <col min="6" max="6" width="11.125" style="0" customWidth="1"/>
    <col min="7" max="7" width="9.25390625" style="0" customWidth="1"/>
    <col min="8" max="8" width="9.75390625" style="0" customWidth="1"/>
    <col min="9" max="9" width="10.125" style="0" customWidth="1"/>
    <col min="10" max="10" width="9.00390625" style="0" customWidth="1"/>
    <col min="11" max="11" width="9.625" style="0" customWidth="1"/>
    <col min="12" max="12" width="10.00390625" style="0" customWidth="1"/>
    <col min="13" max="13" width="10.625" style="0" bestFit="1" customWidth="1"/>
    <col min="14" max="14" width="10.00390625" style="0" customWidth="1"/>
    <col min="15" max="15" width="9.25390625" style="0" customWidth="1"/>
    <col min="16" max="16" width="10.00390625" style="0" customWidth="1"/>
    <col min="17" max="17" width="11.25390625" style="0" customWidth="1"/>
    <col min="18" max="18" width="10.00390625" style="0" customWidth="1"/>
  </cols>
  <sheetData>
    <row r="1" spans="17:18" ht="12.75">
      <c r="Q1" s="2042" t="s">
        <v>1283</v>
      </c>
      <c r="R1" s="2042"/>
    </row>
    <row r="2" spans="14:18" ht="39.75" customHeight="1">
      <c r="N2" s="2041" t="s">
        <v>87</v>
      </c>
      <c r="O2" s="2041"/>
      <c r="P2" s="2041"/>
      <c r="Q2" s="2041"/>
      <c r="R2" s="2041"/>
    </row>
    <row r="3" spans="1:21" s="5" customFormat="1" ht="15" customHeight="1">
      <c r="A3" s="2040" t="s">
        <v>426</v>
      </c>
      <c r="B3" s="2040"/>
      <c r="C3" s="2040"/>
      <c r="D3" s="2040"/>
      <c r="E3" s="2040"/>
      <c r="F3" s="2040"/>
      <c r="G3" s="2040"/>
      <c r="H3" s="2040"/>
      <c r="I3" s="2040"/>
      <c r="J3" s="2040"/>
      <c r="K3" s="2040"/>
      <c r="L3" s="2040"/>
      <c r="M3" s="2040"/>
      <c r="N3" s="2040"/>
      <c r="O3" s="2040"/>
      <c r="P3" s="2040"/>
      <c r="Q3" s="2040"/>
      <c r="R3" s="2040"/>
      <c r="S3" s="24"/>
      <c r="T3"/>
      <c r="U3" s="112"/>
    </row>
    <row r="4" ht="15" customHeight="1" thickBot="1">
      <c r="R4" s="4" t="s">
        <v>1311</v>
      </c>
    </row>
    <row r="5" spans="1:18" s="278" customFormat="1" ht="15" customHeight="1">
      <c r="A5" s="497"/>
      <c r="B5" s="498" t="s">
        <v>367</v>
      </c>
      <c r="C5" s="498" t="s">
        <v>1784</v>
      </c>
      <c r="D5" s="498" t="s">
        <v>1785</v>
      </c>
      <c r="E5" s="1061" t="s">
        <v>1889</v>
      </c>
      <c r="F5" s="498" t="s">
        <v>1786</v>
      </c>
      <c r="G5" s="498" t="s">
        <v>1149</v>
      </c>
      <c r="H5" s="498" t="s">
        <v>1150</v>
      </c>
      <c r="I5" s="1061" t="s">
        <v>1634</v>
      </c>
      <c r="J5" s="498" t="s">
        <v>1205</v>
      </c>
      <c r="K5" s="498" t="s">
        <v>1206</v>
      </c>
      <c r="L5" s="498" t="s">
        <v>138</v>
      </c>
      <c r="M5" s="1061" t="s">
        <v>1635</v>
      </c>
      <c r="N5" s="498" t="s">
        <v>139</v>
      </c>
      <c r="O5" s="498" t="s">
        <v>140</v>
      </c>
      <c r="P5" s="498" t="s">
        <v>141</v>
      </c>
      <c r="Q5" s="1061" t="s">
        <v>1636</v>
      </c>
      <c r="R5" s="518" t="s">
        <v>551</v>
      </c>
    </row>
    <row r="6" spans="1:18" ht="15" customHeight="1">
      <c r="A6" s="499" t="s">
        <v>1568</v>
      </c>
      <c r="B6" s="279">
        <f aca="true" t="shared" si="0" ref="B6:J6">SUM(B7:B14)</f>
        <v>11797</v>
      </c>
      <c r="C6" s="279">
        <f t="shared" si="0"/>
        <v>119249</v>
      </c>
      <c r="D6" s="279">
        <f t="shared" si="0"/>
        <v>55864</v>
      </c>
      <c r="E6" s="279">
        <f t="shared" si="0"/>
        <v>186910</v>
      </c>
      <c r="F6" s="279">
        <f t="shared" si="0"/>
        <v>21050</v>
      </c>
      <c r="G6" s="279">
        <f t="shared" si="0"/>
        <v>97771</v>
      </c>
      <c r="H6" s="279">
        <f t="shared" si="0"/>
        <v>195991</v>
      </c>
      <c r="I6" s="279">
        <f t="shared" si="0"/>
        <v>314812</v>
      </c>
      <c r="J6" s="279">
        <f t="shared" si="0"/>
        <v>22172</v>
      </c>
      <c r="K6" s="279"/>
      <c r="L6" s="279">
        <f aca="true" t="shared" si="1" ref="L6:R6">SUM(L7:L14)</f>
        <v>53447</v>
      </c>
      <c r="M6" s="279">
        <f t="shared" si="1"/>
        <v>75619</v>
      </c>
      <c r="N6" s="279">
        <f t="shared" si="1"/>
        <v>16517</v>
      </c>
      <c r="O6" s="279">
        <f t="shared" si="1"/>
        <v>24350</v>
      </c>
      <c r="P6" s="279">
        <f t="shared" si="1"/>
        <v>27348</v>
      </c>
      <c r="Q6" s="279">
        <f t="shared" si="1"/>
        <v>68215</v>
      </c>
      <c r="R6" s="873">
        <f t="shared" si="1"/>
        <v>645556</v>
      </c>
    </row>
    <row r="7" spans="1:18" ht="15" customHeight="1">
      <c r="A7" s="500" t="s">
        <v>1376</v>
      </c>
      <c r="B7" s="280">
        <v>0</v>
      </c>
      <c r="C7" s="280">
        <f>'1.1дош'!L14</f>
        <v>6539</v>
      </c>
      <c r="D7" s="280">
        <v>0</v>
      </c>
      <c r="E7" s="1062">
        <f aca="true" t="shared" si="2" ref="E7:E14">SUM(B7:D7)</f>
        <v>6539</v>
      </c>
      <c r="F7" s="280">
        <f>'1.1дош'!L19</f>
        <v>4816</v>
      </c>
      <c r="G7" s="857"/>
      <c r="H7" s="280">
        <f>'1.1дош'!L23</f>
        <v>5490</v>
      </c>
      <c r="I7" s="1062">
        <f aca="true" t="shared" si="3" ref="I7:I14">SUM(F7:H7)</f>
        <v>10306</v>
      </c>
      <c r="J7" s="280">
        <v>0</v>
      </c>
      <c r="K7" s="280">
        <v>0</v>
      </c>
      <c r="L7" s="280">
        <v>0</v>
      </c>
      <c r="M7" s="1062">
        <f aca="true" t="shared" si="4" ref="M7:M14">SUM(J7:L7)</f>
        <v>0</v>
      </c>
      <c r="N7" s="280">
        <v>0</v>
      </c>
      <c r="O7" s="280">
        <v>0</v>
      </c>
      <c r="P7" s="280">
        <v>0</v>
      </c>
      <c r="Q7" s="1062">
        <f aca="true" t="shared" si="5" ref="Q7:Q14">SUM(N7:P7)</f>
        <v>0</v>
      </c>
      <c r="R7" s="1060">
        <f>SUM(Q7,M7,I7,E7)</f>
        <v>16845</v>
      </c>
    </row>
    <row r="8" spans="1:18" ht="15" customHeight="1">
      <c r="A8" s="500" t="s">
        <v>1377</v>
      </c>
      <c r="B8" s="280">
        <v>0</v>
      </c>
      <c r="C8" s="280">
        <f>'1.2 студ'!L9</f>
        <v>6000</v>
      </c>
      <c r="D8" s="280">
        <v>0</v>
      </c>
      <c r="E8" s="1062">
        <f t="shared" si="2"/>
        <v>6000</v>
      </c>
      <c r="F8" s="280">
        <f>'1.2 студ'!L13</f>
        <v>5400</v>
      </c>
      <c r="G8" s="280">
        <f>'1.2 студ'!L16</f>
        <v>6450</v>
      </c>
      <c r="H8" s="280">
        <v>0</v>
      </c>
      <c r="I8" s="1062">
        <f t="shared" si="3"/>
        <v>11850</v>
      </c>
      <c r="J8" s="280">
        <v>0</v>
      </c>
      <c r="K8" s="280">
        <v>0</v>
      </c>
      <c r="L8" s="280">
        <v>0</v>
      </c>
      <c r="M8" s="1062">
        <f t="shared" si="4"/>
        <v>0</v>
      </c>
      <c r="N8" s="280">
        <f>'1.2 студ'!L20</f>
        <v>6750</v>
      </c>
      <c r="O8" s="280">
        <f>'1.2 студ'!L22</f>
        <v>7500</v>
      </c>
      <c r="P8" s="280">
        <f>'1.2 студ'!L25</f>
        <v>7500</v>
      </c>
      <c r="Q8" s="1062">
        <f t="shared" si="5"/>
        <v>21750</v>
      </c>
      <c r="R8" s="1060">
        <f aca="true" t="shared" si="6" ref="R8:R14">SUM(E8,I8,M8,Q8)</f>
        <v>39600</v>
      </c>
    </row>
    <row r="9" spans="1:18" ht="15" customHeight="1">
      <c r="A9" s="500" t="s">
        <v>1378</v>
      </c>
      <c r="B9" s="280">
        <f>'1.3 шк'!$L$9</f>
        <v>10897</v>
      </c>
      <c r="C9" s="280">
        <f>'1.3 шк'!$L$14</f>
        <v>3470</v>
      </c>
      <c r="D9" s="280">
        <f>'1.3 шк'!$L$19</f>
        <v>7299</v>
      </c>
      <c r="E9" s="1062">
        <f t="shared" si="2"/>
        <v>21666</v>
      </c>
      <c r="F9" s="280">
        <f>'1.3 шк'!$L$25</f>
        <v>10834</v>
      </c>
      <c r="G9" s="280">
        <f>'1.3 шк'!$L$29</f>
        <v>12300</v>
      </c>
      <c r="H9" s="280">
        <v>0</v>
      </c>
      <c r="I9" s="1062">
        <f t="shared" si="3"/>
        <v>23134</v>
      </c>
      <c r="J9" s="280">
        <v>0</v>
      </c>
      <c r="K9" s="280">
        <v>0</v>
      </c>
      <c r="L9" s="280">
        <f>'1.3 шк'!L36</f>
        <v>18327</v>
      </c>
      <c r="M9" s="1062">
        <f t="shared" si="4"/>
        <v>18327</v>
      </c>
      <c r="N9" s="280">
        <f>'1.3 шк'!L40</f>
        <v>5267</v>
      </c>
      <c r="O9" s="280">
        <f>'1.3 шк'!L45</f>
        <v>11485</v>
      </c>
      <c r="P9" s="280">
        <f>'1.3 шк'!L48</f>
        <v>4848</v>
      </c>
      <c r="Q9" s="1062">
        <f t="shared" si="5"/>
        <v>21600</v>
      </c>
      <c r="R9" s="1060">
        <f t="shared" si="6"/>
        <v>84727</v>
      </c>
    </row>
    <row r="10" spans="1:18" ht="15" customHeight="1">
      <c r="A10" s="500" t="s">
        <v>1379</v>
      </c>
      <c r="B10" s="280">
        <v>0</v>
      </c>
      <c r="C10" s="280">
        <f>'1.4 спарт.шк'!O11</f>
        <v>69400</v>
      </c>
      <c r="D10" s="280">
        <f>'1.4 спарт.шк'!O14</f>
        <v>14400</v>
      </c>
      <c r="E10" s="1062">
        <f t="shared" si="2"/>
        <v>83800</v>
      </c>
      <c r="F10" s="280">
        <v>0</v>
      </c>
      <c r="G10" s="280">
        <f>'1.4 спарт.шк'!$O$22</f>
        <v>29780</v>
      </c>
      <c r="H10" s="280">
        <f>'1.4 спарт.шк'!$O$25</f>
        <v>105980</v>
      </c>
      <c r="I10" s="1062">
        <f t="shared" si="3"/>
        <v>135760</v>
      </c>
      <c r="J10" s="280">
        <v>0</v>
      </c>
      <c r="K10" s="280">
        <v>0</v>
      </c>
      <c r="L10" s="280">
        <v>0</v>
      </c>
      <c r="M10" s="1062">
        <f t="shared" si="4"/>
        <v>0</v>
      </c>
      <c r="N10" s="280">
        <v>0</v>
      </c>
      <c r="O10" s="280">
        <v>0</v>
      </c>
      <c r="P10" s="280">
        <v>0</v>
      </c>
      <c r="Q10" s="1062">
        <f t="shared" si="5"/>
        <v>0</v>
      </c>
      <c r="R10" s="1060">
        <f t="shared" si="6"/>
        <v>219560</v>
      </c>
    </row>
    <row r="11" spans="1:18" ht="15" customHeight="1">
      <c r="A11" s="500" t="s">
        <v>1187</v>
      </c>
      <c r="B11" s="280">
        <f>'1.5 гор.спар.допр'!$M$8</f>
        <v>900</v>
      </c>
      <c r="C11" s="280">
        <f>'1.5 гор.спар.допр'!M14</f>
        <v>19825</v>
      </c>
      <c r="D11" s="280">
        <v>0</v>
      </c>
      <c r="E11" s="1062">
        <f t="shared" si="2"/>
        <v>20725</v>
      </c>
      <c r="F11" s="280">
        <v>0</v>
      </c>
      <c r="G11" s="280">
        <f>'1.5 гор.спар.допр'!M20</f>
        <v>28122</v>
      </c>
      <c r="H11" s="280">
        <v>0</v>
      </c>
      <c r="I11" s="1062">
        <f t="shared" si="3"/>
        <v>28122</v>
      </c>
      <c r="J11" s="280">
        <v>0</v>
      </c>
      <c r="K11" s="280">
        <v>0</v>
      </c>
      <c r="L11" s="280">
        <v>0</v>
      </c>
      <c r="M11" s="1062">
        <f t="shared" si="4"/>
        <v>0</v>
      </c>
      <c r="N11" s="280">
        <v>0</v>
      </c>
      <c r="O11" s="280">
        <v>0</v>
      </c>
      <c r="P11" s="280">
        <v>0</v>
      </c>
      <c r="Q11" s="1062">
        <f t="shared" si="5"/>
        <v>0</v>
      </c>
      <c r="R11" s="1060">
        <f>SUM(E11,I11,M11,Q11)</f>
        <v>48847</v>
      </c>
    </row>
    <row r="12" spans="1:18" ht="15" customHeight="1">
      <c r="A12" s="500" t="s">
        <v>1188</v>
      </c>
      <c r="B12" s="280">
        <v>0</v>
      </c>
      <c r="C12" s="280">
        <v>0</v>
      </c>
      <c r="D12" s="280">
        <f>'1.6 выезд.спар.допр'!O7</f>
        <v>3580</v>
      </c>
      <c r="E12" s="1062">
        <f t="shared" si="2"/>
        <v>3580</v>
      </c>
      <c r="F12" s="280">
        <v>0</v>
      </c>
      <c r="G12" s="280">
        <v>0</v>
      </c>
      <c r="H12" s="280">
        <f>'1.6 выезд.спар.допр'!O12</f>
        <v>40320</v>
      </c>
      <c r="I12" s="1062">
        <f t="shared" si="3"/>
        <v>40320</v>
      </c>
      <c r="J12" s="280">
        <v>0</v>
      </c>
      <c r="K12" s="280">
        <v>0</v>
      </c>
      <c r="L12" s="280">
        <f>'1.6 выезд.спар.допр'!O17</f>
        <v>20120</v>
      </c>
      <c r="M12" s="1062">
        <f>SUM(J12:L12)</f>
        <v>20120</v>
      </c>
      <c r="N12" s="280">
        <v>0</v>
      </c>
      <c r="O12" s="280">
        <v>0</v>
      </c>
      <c r="P12" s="280">
        <v>0</v>
      </c>
      <c r="Q12" s="1062">
        <f t="shared" si="5"/>
        <v>0</v>
      </c>
      <c r="R12" s="1060">
        <f t="shared" si="6"/>
        <v>64020</v>
      </c>
    </row>
    <row r="13" spans="1:18" ht="15" customHeight="1">
      <c r="A13" s="500" t="s">
        <v>1189</v>
      </c>
      <c r="B13" s="280">
        <v>0</v>
      </c>
      <c r="C13" s="280">
        <f>'1.7 ЖЭУ'!M9</f>
        <v>14015</v>
      </c>
      <c r="D13" s="280">
        <f>'1.7 ЖЭУ'!M14</f>
        <v>30585</v>
      </c>
      <c r="E13" s="1062">
        <f>ROUNDDOWN(SUM(B13:D13),0)</f>
        <v>44600</v>
      </c>
      <c r="F13" s="280">
        <v>0</v>
      </c>
      <c r="G13" s="280">
        <f>'1.7 ЖЭУ'!M17</f>
        <v>21119</v>
      </c>
      <c r="H13" s="280">
        <v>0</v>
      </c>
      <c r="I13" s="1062">
        <f t="shared" si="3"/>
        <v>21119</v>
      </c>
      <c r="J13" s="280">
        <v>0</v>
      </c>
      <c r="K13" s="280">
        <v>0</v>
      </c>
      <c r="L13" s="280">
        <f>'1.7 ЖЭУ'!M20</f>
        <v>15000</v>
      </c>
      <c r="M13" s="1062">
        <f t="shared" si="4"/>
        <v>15000</v>
      </c>
      <c r="N13" s="280">
        <f>'1.7 ЖЭУ'!$M$23</f>
        <v>4500</v>
      </c>
      <c r="O13" s="280">
        <f>'1.7 ЖЭУ'!$M$26</f>
        <v>5365</v>
      </c>
      <c r="P13" s="280">
        <f>'1.7 ЖЭУ'!$M$29</f>
        <v>15000</v>
      </c>
      <c r="Q13" s="1062">
        <f t="shared" si="5"/>
        <v>24865</v>
      </c>
      <c r="R13" s="1060">
        <f>SUM(E13,I13,M13,Q13)</f>
        <v>105584</v>
      </c>
    </row>
    <row r="14" spans="1:18" ht="15" customHeight="1">
      <c r="A14" s="500" t="s">
        <v>1190</v>
      </c>
      <c r="B14" s="280">
        <v>0</v>
      </c>
      <c r="C14" s="280">
        <v>0</v>
      </c>
      <c r="D14" s="280">
        <v>0</v>
      </c>
      <c r="E14" s="1062">
        <f t="shared" si="2"/>
        <v>0</v>
      </c>
      <c r="F14" s="280">
        <v>0</v>
      </c>
      <c r="G14" s="280">
        <v>0</v>
      </c>
      <c r="H14" s="280">
        <f>'1.8 озд.лагеря'!K10</f>
        <v>44201</v>
      </c>
      <c r="I14" s="1062">
        <f t="shared" si="3"/>
        <v>44201</v>
      </c>
      <c r="J14" s="280">
        <f>'1.8 озд.лагеря'!K15</f>
        <v>22172</v>
      </c>
      <c r="K14" s="280">
        <v>0</v>
      </c>
      <c r="L14" s="501">
        <v>0</v>
      </c>
      <c r="M14" s="1062">
        <f t="shared" si="4"/>
        <v>22172</v>
      </c>
      <c r="N14" s="280">
        <v>0</v>
      </c>
      <c r="O14" s="280">
        <v>0</v>
      </c>
      <c r="P14" s="280">
        <v>0</v>
      </c>
      <c r="Q14" s="1062">
        <f t="shared" si="5"/>
        <v>0</v>
      </c>
      <c r="R14" s="1060">
        <f t="shared" si="6"/>
        <v>66373</v>
      </c>
    </row>
    <row r="15" spans="1:18" ht="15" customHeight="1">
      <c r="A15" s="499" t="s">
        <v>1569</v>
      </c>
      <c r="B15" s="281">
        <f aca="true" t="shared" si="7" ref="B15:R15">SUM(B16:B18)</f>
        <v>238533</v>
      </c>
      <c r="C15" s="281">
        <f t="shared" si="7"/>
        <v>102544</v>
      </c>
      <c r="D15" s="281">
        <f t="shared" si="7"/>
        <v>96886</v>
      </c>
      <c r="E15" s="1064">
        <f t="shared" si="7"/>
        <v>437963</v>
      </c>
      <c r="F15" s="281">
        <f t="shared" si="7"/>
        <v>152805</v>
      </c>
      <c r="G15" s="281">
        <f t="shared" si="7"/>
        <v>68704</v>
      </c>
      <c r="H15" s="281">
        <f t="shared" si="7"/>
        <v>143995</v>
      </c>
      <c r="I15" s="279">
        <f t="shared" si="7"/>
        <v>365504</v>
      </c>
      <c r="J15" s="281">
        <f t="shared" si="7"/>
        <v>15377</v>
      </c>
      <c r="K15" s="281">
        <f t="shared" si="7"/>
        <v>61545</v>
      </c>
      <c r="L15" s="281">
        <f t="shared" si="7"/>
        <v>12252</v>
      </c>
      <c r="M15" s="279">
        <f t="shared" si="7"/>
        <v>89174</v>
      </c>
      <c r="N15" s="281">
        <f t="shared" si="7"/>
        <v>233283</v>
      </c>
      <c r="O15" s="281">
        <f t="shared" si="7"/>
        <v>153261</v>
      </c>
      <c r="P15" s="281">
        <f t="shared" si="7"/>
        <v>132556</v>
      </c>
      <c r="Q15" s="279">
        <f t="shared" si="7"/>
        <v>519100</v>
      </c>
      <c r="R15" s="873">
        <f t="shared" si="7"/>
        <v>1411741</v>
      </c>
    </row>
    <row r="16" spans="1:18" ht="15" customHeight="1">
      <c r="A16" s="500" t="s">
        <v>1125</v>
      </c>
      <c r="B16" s="280">
        <f>'2.1 инв'!K9</f>
        <v>8262</v>
      </c>
      <c r="C16" s="280">
        <f>'2.1 инв'!K12</f>
        <v>8631</v>
      </c>
      <c r="D16" s="280">
        <f>'2.1 инв'!K16</f>
        <v>5448</v>
      </c>
      <c r="E16" s="1062">
        <f>SUM(B16:D16)</f>
        <v>22341</v>
      </c>
      <c r="F16" s="280">
        <f>'2.1 инв'!K20</f>
        <v>4573</v>
      </c>
      <c r="G16" s="280">
        <f>'2.1 инв'!K23</f>
        <v>4759</v>
      </c>
      <c r="H16" s="280">
        <f>'2.1 инв'!K26</f>
        <v>2250</v>
      </c>
      <c r="I16" s="1062">
        <f>ROUNDUP(SUM(F16:H16),0)</f>
        <v>11582</v>
      </c>
      <c r="J16" s="280">
        <v>0</v>
      </c>
      <c r="K16" s="280">
        <f>'2.1 инв'!K29</f>
        <v>16410</v>
      </c>
      <c r="L16" s="280">
        <v>0</v>
      </c>
      <c r="M16" s="1062">
        <f>SUM(J16:L16)</f>
        <v>16410</v>
      </c>
      <c r="N16" s="280">
        <v>0</v>
      </c>
      <c r="O16" s="280">
        <v>0</v>
      </c>
      <c r="P16" s="1099">
        <f>'2.1 инв'!K34</f>
        <v>21959</v>
      </c>
      <c r="Q16" s="1062">
        <f>SUM(N16:P16)</f>
        <v>21959</v>
      </c>
      <c r="R16" s="1060">
        <f>SUM(E16,I16,M16,Q16)</f>
        <v>72292</v>
      </c>
    </row>
    <row r="17" spans="1:18" ht="15" customHeight="1">
      <c r="A17" s="500" t="s">
        <v>1126</v>
      </c>
      <c r="B17" s="280">
        <f>'2.2 г.орг'!P26</f>
        <v>230271</v>
      </c>
      <c r="C17" s="280">
        <f>'2.2 г.орг'!P45</f>
        <v>93913</v>
      </c>
      <c r="D17" s="280">
        <f>'2.2 г.орг'!P63</f>
        <v>86534</v>
      </c>
      <c r="E17" s="1062">
        <f>SUM(B17:D17)</f>
        <v>410718</v>
      </c>
      <c r="F17" s="280">
        <f>'2.2 г.орг'!P84</f>
        <v>118712</v>
      </c>
      <c r="G17" s="280">
        <f>'2.2 г.орг'!P101</f>
        <v>63945</v>
      </c>
      <c r="H17" s="280">
        <f>'2.2 г.орг'!P116</f>
        <v>141745</v>
      </c>
      <c r="I17" s="1062">
        <f aca="true" t="shared" si="8" ref="I17:I26">SUM(F17:H17)</f>
        <v>324402</v>
      </c>
      <c r="J17" s="280">
        <f>'2.2 г.орг'!P122</f>
        <v>15377</v>
      </c>
      <c r="K17" s="280">
        <f>'2.2 г.орг'!P137</f>
        <v>45135</v>
      </c>
      <c r="L17" s="280">
        <f>'2.2 г.орг'!P142</f>
        <v>12252</v>
      </c>
      <c r="M17" s="1062">
        <f>SUM(J17:L17)</f>
        <v>72764</v>
      </c>
      <c r="N17" s="280">
        <f>'2.2 г.орг'!P175</f>
        <v>233283</v>
      </c>
      <c r="O17" s="1099">
        <f>'2.2 г.орг'!P202</f>
        <v>136001</v>
      </c>
      <c r="P17" s="280">
        <f>'2.2 г.орг'!P223</f>
        <v>110597</v>
      </c>
      <c r="Q17" s="1062">
        <f>SUM(N17:P17)</f>
        <v>479881</v>
      </c>
      <c r="R17" s="1060">
        <f>SUM(E17,I17,M17,Q17)</f>
        <v>1287765</v>
      </c>
    </row>
    <row r="18" spans="1:18" ht="15" customHeight="1">
      <c r="A18" s="500" t="s">
        <v>1788</v>
      </c>
      <c r="B18" s="280">
        <v>0</v>
      </c>
      <c r="C18" s="280">
        <v>0</v>
      </c>
      <c r="D18" s="280">
        <f>'2.3 метод.'!I8</f>
        <v>4904</v>
      </c>
      <c r="E18" s="1062">
        <f>SUM(B18:D18)</f>
        <v>4904</v>
      </c>
      <c r="F18" s="280">
        <f>'2.3 метод.'!I11</f>
        <v>29520</v>
      </c>
      <c r="G18" s="280">
        <v>0</v>
      </c>
      <c r="H18" s="280">
        <v>0</v>
      </c>
      <c r="I18" s="1062">
        <f t="shared" si="8"/>
        <v>29520</v>
      </c>
      <c r="J18" s="280">
        <v>0</v>
      </c>
      <c r="K18" s="280">
        <v>0</v>
      </c>
      <c r="L18" s="280">
        <v>0</v>
      </c>
      <c r="M18" s="1062">
        <f>SUM(J18:L18)</f>
        <v>0</v>
      </c>
      <c r="N18" s="280">
        <v>0</v>
      </c>
      <c r="O18" s="1099">
        <f>'2.3 метод.'!I14</f>
        <v>17260</v>
      </c>
      <c r="P18" s="280">
        <v>0</v>
      </c>
      <c r="Q18" s="1062">
        <f>SUM(N18:P18)</f>
        <v>17260</v>
      </c>
      <c r="R18" s="1060">
        <f>SUM(E18,I18,M18,Q18)</f>
        <v>51684</v>
      </c>
    </row>
    <row r="19" spans="1:20" ht="15" customHeight="1">
      <c r="A19" s="499" t="s">
        <v>1570</v>
      </c>
      <c r="B19" s="279">
        <f>SUM(B20:B23)</f>
        <v>183383</v>
      </c>
      <c r="C19" s="279">
        <f>SUM(C20:C23)</f>
        <v>123867</v>
      </c>
      <c r="D19" s="279">
        <f>SUM(D20:D23)</f>
        <v>65744</v>
      </c>
      <c r="E19" s="279">
        <f aca="true" t="shared" si="9" ref="E19:E27">SUM(B19:D19)</f>
        <v>372994</v>
      </c>
      <c r="F19" s="279">
        <f>SUM(F20:F23)</f>
        <v>126467</v>
      </c>
      <c r="G19" s="279">
        <f>SUM(G20:G23)</f>
        <v>55575</v>
      </c>
      <c r="H19" s="279">
        <f>SUM(H20:H23)</f>
        <v>37652</v>
      </c>
      <c r="I19" s="279">
        <f t="shared" si="8"/>
        <v>219694</v>
      </c>
      <c r="J19" s="279">
        <f>SUM(J20:J23)</f>
        <v>14287</v>
      </c>
      <c r="K19" s="279">
        <f>SUM(K20:K23)</f>
        <v>17804</v>
      </c>
      <c r="L19" s="279">
        <f>SUM(L20:L23)</f>
        <v>80985</v>
      </c>
      <c r="M19" s="279">
        <f aca="true" t="shared" si="10" ref="M19:M28">SUM(J19:L19)</f>
        <v>113076</v>
      </c>
      <c r="N19" s="279">
        <f>SUM(N20:N23)</f>
        <v>111021</v>
      </c>
      <c r="O19" s="279">
        <f>SUM(O20:O23)</f>
        <v>123613</v>
      </c>
      <c r="P19" s="279">
        <f>SUM(P20:P23)</f>
        <v>86739</v>
      </c>
      <c r="Q19" s="279">
        <f aca="true" t="shared" si="11" ref="Q19:Q28">SUM(N19:P19)</f>
        <v>321373</v>
      </c>
      <c r="R19" s="873">
        <f>ROUNDUP(SUM(E19,I19,M19,Q19),0)</f>
        <v>1027137</v>
      </c>
      <c r="T19" s="18"/>
    </row>
    <row r="20" spans="1:18" ht="15" customHeight="1">
      <c r="A20" s="500" t="s">
        <v>1789</v>
      </c>
      <c r="B20" s="280">
        <f>'3.1 УТС'!H15</f>
        <v>90000</v>
      </c>
      <c r="C20" s="280">
        <f>'3.1 УТС'!H23</f>
        <v>52200</v>
      </c>
      <c r="D20" s="280">
        <f>'3.1 УТС'!H27</f>
        <v>14400</v>
      </c>
      <c r="E20" s="1062">
        <f>SUM(B20:D20)</f>
        <v>156600</v>
      </c>
      <c r="F20" s="280">
        <f>'3.1 УТС'!H32</f>
        <v>41400</v>
      </c>
      <c r="G20" s="280">
        <f>'3.1 УТС'!H36</f>
        <v>12150</v>
      </c>
      <c r="H20" s="280">
        <f>'3.1 УТС'!H40</f>
        <v>17100</v>
      </c>
      <c r="I20" s="1062">
        <f>SUM(F20:H20)</f>
        <v>70650</v>
      </c>
      <c r="J20" s="280">
        <f>'3.1 УТС'!H44</f>
        <v>9900</v>
      </c>
      <c r="K20" s="280">
        <f>'3.1 УТС'!H47</f>
        <v>900</v>
      </c>
      <c r="L20" s="280">
        <f>'3.1 УТС'!H53</f>
        <v>46800</v>
      </c>
      <c r="M20" s="1062">
        <f t="shared" si="10"/>
        <v>57600</v>
      </c>
      <c r="N20" s="280">
        <f>'3.1 УТС'!H59</f>
        <v>71100</v>
      </c>
      <c r="O20" s="280">
        <f>'3.1 УТС'!H62</f>
        <v>900</v>
      </c>
      <c r="P20" s="280">
        <f>'3.1 УТС'!H65</f>
        <v>900</v>
      </c>
      <c r="Q20" s="1062">
        <f t="shared" si="11"/>
        <v>72900</v>
      </c>
      <c r="R20" s="1060">
        <f>SUM(E20,I20,M20,Q20)</f>
        <v>357750</v>
      </c>
    </row>
    <row r="21" spans="1:18" ht="15" customHeight="1">
      <c r="A21" s="500" t="s">
        <v>1790</v>
      </c>
      <c r="B21" s="280">
        <v>0</v>
      </c>
      <c r="C21" s="280">
        <f>'3.2 всер.тур'!O8</f>
        <v>39366</v>
      </c>
      <c r="D21" s="280">
        <v>0</v>
      </c>
      <c r="E21" s="1062">
        <f t="shared" si="9"/>
        <v>39366</v>
      </c>
      <c r="F21" s="280">
        <f>'3.2 всер.тур'!O10</f>
        <v>32973</v>
      </c>
      <c r="G21" s="280">
        <v>0</v>
      </c>
      <c r="H21" s="280">
        <v>0</v>
      </c>
      <c r="I21" s="1062">
        <f>ROUNDDOWN(SUM(F21:H21),0)</f>
        <v>32973</v>
      </c>
      <c r="J21" s="280">
        <v>0</v>
      </c>
      <c r="K21" s="280">
        <v>0</v>
      </c>
      <c r="L21" s="280">
        <f>'3.2 всер.тур'!O15</f>
        <v>34185</v>
      </c>
      <c r="M21" s="1062">
        <f t="shared" si="10"/>
        <v>34185</v>
      </c>
      <c r="N21" s="280">
        <f>'3.2 всер.тур'!O18</f>
        <v>29536</v>
      </c>
      <c r="O21" s="280">
        <f>'3.2 всер.тур'!O26</f>
        <v>85249</v>
      </c>
      <c r="P21" s="280">
        <v>0</v>
      </c>
      <c r="Q21" s="1062">
        <f>ROUNDUP(SUM(N21:P21),0)</f>
        <v>114785</v>
      </c>
      <c r="R21" s="1060">
        <f>ROUNDUP(SUM(E21,I21,M21,Q21),0)</f>
        <v>221309</v>
      </c>
    </row>
    <row r="22" spans="1:18" ht="15" customHeight="1">
      <c r="A22" s="500" t="s">
        <v>203</v>
      </c>
      <c r="B22" s="280">
        <f>'3.3 перв.'!O14</f>
        <v>93383</v>
      </c>
      <c r="C22" s="280">
        <f>'3.3 перв.'!O18</f>
        <v>18872</v>
      </c>
      <c r="D22" s="280">
        <f>'3.3 перв.'!O27</f>
        <v>51344</v>
      </c>
      <c r="E22" s="1062">
        <f t="shared" si="9"/>
        <v>163599</v>
      </c>
      <c r="F22" s="280">
        <f>'3.3 перв.'!O33</f>
        <v>29438</v>
      </c>
      <c r="G22" s="280">
        <f>'3.3 перв.'!O41</f>
        <v>43425</v>
      </c>
      <c r="H22" s="280">
        <f>'3.3 перв.'!O45</f>
        <v>20552</v>
      </c>
      <c r="I22" s="1062">
        <f>SUM(F22:H22)</f>
        <v>93415</v>
      </c>
      <c r="J22" s="280">
        <v>0</v>
      </c>
      <c r="K22" s="280">
        <f>'3.3 перв.'!O49</f>
        <v>16904</v>
      </c>
      <c r="L22" s="280">
        <v>0</v>
      </c>
      <c r="M22" s="1062">
        <f>SUM(J22:L22)</f>
        <v>16904</v>
      </c>
      <c r="N22" s="280">
        <f>'3.3 перв.'!O52</f>
        <v>10385</v>
      </c>
      <c r="O22" s="280">
        <f>'3.3 перв.'!O56</f>
        <v>23280</v>
      </c>
      <c r="P22" s="280">
        <f>'3.3 перв.'!O64</f>
        <v>52226</v>
      </c>
      <c r="Q22" s="1062">
        <f t="shared" si="11"/>
        <v>85891</v>
      </c>
      <c r="R22" s="1060">
        <f>SUM(E22,I22,M22,Q22)</f>
        <v>359809</v>
      </c>
    </row>
    <row r="23" spans="1:18" ht="15" customHeight="1">
      <c r="A23" s="500" t="s">
        <v>204</v>
      </c>
      <c r="B23" s="280">
        <v>0</v>
      </c>
      <c r="C23" s="280">
        <f>'3.4 спорт.гор'!O9</f>
        <v>13429</v>
      </c>
      <c r="D23" s="280">
        <v>0</v>
      </c>
      <c r="E23" s="1062">
        <f t="shared" si="9"/>
        <v>13429</v>
      </c>
      <c r="F23" s="280">
        <f>'3.4 спорт.гор'!O15</f>
        <v>22656</v>
      </c>
      <c r="G23" s="280">
        <v>0</v>
      </c>
      <c r="H23" s="280">
        <v>0</v>
      </c>
      <c r="I23" s="1062">
        <f t="shared" si="8"/>
        <v>22656</v>
      </c>
      <c r="J23" s="280">
        <f>'3.4 спорт.гор'!O18</f>
        <v>4387</v>
      </c>
      <c r="K23" s="280">
        <v>0</v>
      </c>
      <c r="L23" s="280">
        <v>0</v>
      </c>
      <c r="M23" s="1062">
        <f t="shared" si="10"/>
        <v>4387</v>
      </c>
      <c r="N23" s="280">
        <v>0</v>
      </c>
      <c r="O23" s="280">
        <f>'3.4 спорт.гор'!O21</f>
        <v>14184</v>
      </c>
      <c r="P23" s="280">
        <f>'3.4 спорт.гор'!O28</f>
        <v>33613</v>
      </c>
      <c r="Q23" s="1062">
        <f t="shared" si="11"/>
        <v>47797</v>
      </c>
      <c r="R23" s="1060">
        <f>SUM(E23,I23,M23,Q23)</f>
        <v>88269</v>
      </c>
    </row>
    <row r="24" spans="1:20" s="35" customFormat="1" ht="15" customHeight="1">
      <c r="A24" s="499" t="s">
        <v>1571</v>
      </c>
      <c r="B24" s="279">
        <f>SUM(B25:B26)</f>
        <v>128048</v>
      </c>
      <c r="C24" s="279">
        <f>SUM(C25:C26)</f>
        <v>105666</v>
      </c>
      <c r="D24" s="279">
        <f>SUM(D25:D26)</f>
        <v>66545</v>
      </c>
      <c r="E24" s="279">
        <f t="shared" si="9"/>
        <v>300259</v>
      </c>
      <c r="F24" s="279">
        <f>SUM(F25:F26)</f>
        <v>272500</v>
      </c>
      <c r="G24" s="279">
        <f>SUM(G25:G26)</f>
        <v>365190</v>
      </c>
      <c r="H24" s="279">
        <f>SUM(H25:H26)</f>
        <v>211990</v>
      </c>
      <c r="I24" s="279">
        <f t="shared" si="8"/>
        <v>849680</v>
      </c>
      <c r="J24" s="279">
        <f>SUM(J25:J26)</f>
        <v>129070</v>
      </c>
      <c r="K24" s="279">
        <f>SUM(K25:K26)</f>
        <v>273750</v>
      </c>
      <c r="L24" s="279">
        <f>SUM(L25:L26)</f>
        <v>125655</v>
      </c>
      <c r="M24" s="279">
        <f t="shared" si="10"/>
        <v>528475</v>
      </c>
      <c r="N24" s="279">
        <f>SUM(N25:N26)</f>
        <v>152040</v>
      </c>
      <c r="O24" s="279">
        <f>SUM(O25:O26)</f>
        <v>245740</v>
      </c>
      <c r="P24" s="279">
        <f>SUM(P25:P26)</f>
        <v>112090</v>
      </c>
      <c r="Q24" s="279">
        <f t="shared" si="11"/>
        <v>509870</v>
      </c>
      <c r="R24" s="873">
        <f>ROUNDUP(SUM(E24,I24,M24,Q24),0)</f>
        <v>2188284</v>
      </c>
      <c r="T24" s="527"/>
    </row>
    <row r="25" spans="1:18" ht="15" customHeight="1">
      <c r="A25" s="502" t="s">
        <v>205</v>
      </c>
      <c r="B25" s="280">
        <f>'4.1 спорт выезд'!Q26</f>
        <v>125738</v>
      </c>
      <c r="C25" s="280">
        <f>'4.1 спорт выезд'!Q39</f>
        <v>103356</v>
      </c>
      <c r="D25" s="280">
        <f>'4.1 спорт выезд'!Q45</f>
        <v>56735</v>
      </c>
      <c r="E25" s="1062">
        <f t="shared" si="9"/>
        <v>285829</v>
      </c>
      <c r="F25" s="280">
        <f>'4.1 спорт выезд'!Q67</f>
        <v>270190</v>
      </c>
      <c r="G25" s="280">
        <f>'4.1 спорт выезд'!Q90</f>
        <v>362880</v>
      </c>
      <c r="H25" s="280">
        <f>'4.1 спорт выезд'!Q106</f>
        <v>209680</v>
      </c>
      <c r="I25" s="1062">
        <f t="shared" si="8"/>
        <v>842750</v>
      </c>
      <c r="J25" s="280">
        <f>'4.1 спорт выезд'!Q118</f>
        <v>126760</v>
      </c>
      <c r="K25" s="280">
        <f>'4.1 спорт выезд'!Q131</f>
        <v>271440</v>
      </c>
      <c r="L25" s="280">
        <f>'4.1 спорт выезд'!Q149</f>
        <v>123345</v>
      </c>
      <c r="M25" s="1062">
        <f t="shared" si="10"/>
        <v>521545</v>
      </c>
      <c r="N25" s="280">
        <f>'4.1 спорт выезд'!Q167</f>
        <v>149730</v>
      </c>
      <c r="O25" s="280">
        <f>'4.1 спорт выезд'!Q195</f>
        <v>243430</v>
      </c>
      <c r="P25" s="280">
        <f>'4.1 спорт выезд'!Q213</f>
        <v>109780</v>
      </c>
      <c r="Q25" s="1062">
        <f t="shared" si="11"/>
        <v>502940</v>
      </c>
      <c r="R25" s="1060">
        <f>ROUNDUP(SUM(E25,I25,M25,Q25),0)</f>
        <v>2153064</v>
      </c>
    </row>
    <row r="26" spans="1:18" ht="15" customHeight="1">
      <c r="A26" s="502" t="s">
        <v>206</v>
      </c>
      <c r="B26" s="280">
        <f>'4.2 мед.обесп'!$F$14</f>
        <v>2310</v>
      </c>
      <c r="C26" s="280">
        <f>'4.2 мед.обесп'!$F$14</f>
        <v>2310</v>
      </c>
      <c r="D26" s="280">
        <f>'4.2 мед.обесп'!F8+'4.2 мед.обесп'!F14</f>
        <v>9810</v>
      </c>
      <c r="E26" s="1062">
        <f t="shared" si="9"/>
        <v>14430</v>
      </c>
      <c r="F26" s="280">
        <f>'4.2 мед.обесп'!F14</f>
        <v>2310</v>
      </c>
      <c r="G26" s="280">
        <f>'4.2 мед.обесп'!F14</f>
        <v>2310</v>
      </c>
      <c r="H26" s="280">
        <f>'4.2 мед.обесп'!$F$14</f>
        <v>2310</v>
      </c>
      <c r="I26" s="1062">
        <f t="shared" si="8"/>
        <v>6930</v>
      </c>
      <c r="J26" s="280">
        <f>'4.2 мед.обесп'!$F$14</f>
        <v>2310</v>
      </c>
      <c r="K26" s="280">
        <f>'4.2 мед.обесп'!$F$14</f>
        <v>2310</v>
      </c>
      <c r="L26" s="280">
        <f>'4.2 мед.обесп'!$F$14</f>
        <v>2310</v>
      </c>
      <c r="M26" s="1062">
        <f t="shared" si="10"/>
        <v>6930</v>
      </c>
      <c r="N26" s="280">
        <f>'4.2 мед.обесп'!$F$14</f>
        <v>2310</v>
      </c>
      <c r="O26" s="280">
        <f>'4.2 мед.обесп'!$F$14</f>
        <v>2310</v>
      </c>
      <c r="P26" s="280">
        <f>'4.2 мед.обесп'!$F$14</f>
        <v>2310</v>
      </c>
      <c r="Q26" s="1062">
        <f t="shared" si="11"/>
        <v>6930</v>
      </c>
      <c r="R26" s="1060">
        <f>SUM(E26,I26,M26,Q26)</f>
        <v>35220</v>
      </c>
    </row>
    <row r="27" spans="1:18" s="35" customFormat="1" ht="15" customHeight="1">
      <c r="A27" s="499" t="s">
        <v>1530</v>
      </c>
      <c r="B27" s="891">
        <f>SUM(B28)</f>
        <v>5786</v>
      </c>
      <c r="C27" s="891">
        <f>SUM(C28)</f>
        <v>5785</v>
      </c>
      <c r="D27" s="891">
        <f>SUM(D28)</f>
        <v>5785</v>
      </c>
      <c r="E27" s="891">
        <f t="shared" si="9"/>
        <v>17356</v>
      </c>
      <c r="F27" s="891">
        <f>SUM(F28)</f>
        <v>5786</v>
      </c>
      <c r="G27" s="891">
        <f>SUM(G28)</f>
        <v>5785</v>
      </c>
      <c r="H27" s="891">
        <f>SUM(H28)</f>
        <v>5785</v>
      </c>
      <c r="I27" s="891">
        <f>SUM(F27:H27)</f>
        <v>17356</v>
      </c>
      <c r="J27" s="279">
        <f>SUM(J28)</f>
        <v>5785</v>
      </c>
      <c r="K27" s="891">
        <f>SUM(K28)</f>
        <v>5785</v>
      </c>
      <c r="L27" s="891">
        <f>SUM(L28)</f>
        <v>5785</v>
      </c>
      <c r="M27" s="891">
        <f t="shared" si="10"/>
        <v>17355</v>
      </c>
      <c r="N27" s="891">
        <f>SUM(N28)</f>
        <v>5785</v>
      </c>
      <c r="O27" s="891">
        <f>SUM(O28)</f>
        <v>5785</v>
      </c>
      <c r="P27" s="891">
        <f>SUM(P28)</f>
        <v>5785</v>
      </c>
      <c r="Q27" s="891">
        <f t="shared" si="11"/>
        <v>17355</v>
      </c>
      <c r="R27" s="873">
        <f>SUM(E27,I27,M27,Q27)</f>
        <v>69422</v>
      </c>
    </row>
    <row r="28" spans="1:20" ht="15" customHeight="1">
      <c r="A28" s="502" t="s">
        <v>546</v>
      </c>
      <c r="B28" s="280">
        <f>'5 ком.клуб'!H14+1</f>
        <v>5786</v>
      </c>
      <c r="C28" s="280">
        <f>'5 ком.клуб'!H14</f>
        <v>5785</v>
      </c>
      <c r="D28" s="280">
        <f>'5 ком.клуб'!H14</f>
        <v>5785</v>
      </c>
      <c r="E28" s="1063">
        <f>SUM(B28:D28)</f>
        <v>17356</v>
      </c>
      <c r="F28" s="280">
        <f>'5 ком.клуб'!H14+1</f>
        <v>5786</v>
      </c>
      <c r="G28" s="280">
        <f>'5 ком.клуб'!H14</f>
        <v>5785</v>
      </c>
      <c r="H28" s="280">
        <f>'5 ком.клуб'!H14</f>
        <v>5785</v>
      </c>
      <c r="I28" s="1063">
        <f>SUM(F28:H28)</f>
        <v>17356</v>
      </c>
      <c r="J28" s="280">
        <f>'5 ком.клуб'!H14</f>
        <v>5785</v>
      </c>
      <c r="K28" s="280">
        <f>'5 ком.клуб'!H14</f>
        <v>5785</v>
      </c>
      <c r="L28" s="280">
        <f>'5 ком.клуб'!H14</f>
        <v>5785</v>
      </c>
      <c r="M28" s="1063">
        <f t="shared" si="10"/>
        <v>17355</v>
      </c>
      <c r="N28" s="280">
        <f>'5 ком.клуб'!H14</f>
        <v>5785</v>
      </c>
      <c r="O28" s="280">
        <f>'5 ком.клуб'!H14</f>
        <v>5785</v>
      </c>
      <c r="P28" s="280">
        <f>'5 ком.клуб'!H14</f>
        <v>5785</v>
      </c>
      <c r="Q28" s="1063">
        <f t="shared" si="11"/>
        <v>17355</v>
      </c>
      <c r="R28" s="1060">
        <f>SUM(E28,I28,M28,Q28)</f>
        <v>69422</v>
      </c>
      <c r="T28" s="18"/>
    </row>
    <row r="29" spans="1:18" s="35" customFormat="1" ht="15" customHeight="1">
      <c r="A29" s="499" t="s">
        <v>1572</v>
      </c>
      <c r="B29" s="279">
        <f>SUM(B30)</f>
        <v>140008</v>
      </c>
      <c r="C29" s="279">
        <f>SUM(C30)</f>
        <v>140008</v>
      </c>
      <c r="D29" s="279">
        <f>SUM(D30)</f>
        <v>140009</v>
      </c>
      <c r="E29" s="279">
        <f>ROUNDDOWN(SUM(B29:D29),0)</f>
        <v>420025</v>
      </c>
      <c r="F29" s="279">
        <f>SUM(F30)</f>
        <v>140008</v>
      </c>
      <c r="G29" s="279">
        <f>SUM(G30)</f>
        <v>140008</v>
      </c>
      <c r="H29" s="279">
        <f>SUM(H30)</f>
        <v>140009</v>
      </c>
      <c r="I29" s="279">
        <f>ROUNDDOWN(SUM(F29:H29),0)</f>
        <v>420025</v>
      </c>
      <c r="J29" s="279">
        <f>SUM(J30)</f>
        <v>140008</v>
      </c>
      <c r="K29" s="279">
        <f>SUM(K30)</f>
        <v>140008</v>
      </c>
      <c r="L29" s="279">
        <f>SUM(L30)</f>
        <v>140009</v>
      </c>
      <c r="M29" s="279">
        <f>ROUNDDOWN(SUM(J29:L29),0)</f>
        <v>420025</v>
      </c>
      <c r="N29" s="279">
        <f>SUM(N30)</f>
        <v>140009</v>
      </c>
      <c r="O29" s="279">
        <f>SUM(O30)</f>
        <v>140008</v>
      </c>
      <c r="P29" s="279">
        <f>SUM(P30)</f>
        <v>152289</v>
      </c>
      <c r="Q29" s="279">
        <f>ROUNDDOWN(SUM(N29:P29),0)</f>
        <v>432306</v>
      </c>
      <c r="R29" s="873">
        <f>ROUNDDOWN(SUM(E29,I29,M29,Q29),0)</f>
        <v>1692381</v>
      </c>
    </row>
    <row r="30" spans="1:18" ht="15" customHeight="1">
      <c r="A30" s="502" t="s">
        <v>207</v>
      </c>
      <c r="B30" s="280">
        <f>'6 штат'!L13/12</f>
        <v>140008</v>
      </c>
      <c r="C30" s="280">
        <f>'6 штат'!L13/12</f>
        <v>140008</v>
      </c>
      <c r="D30" s="280">
        <f>'6 штат'!L13/12+1</f>
        <v>140009</v>
      </c>
      <c r="E30" s="1062">
        <f>ROUNDUP(SUM(B30:D30),0)</f>
        <v>420025</v>
      </c>
      <c r="F30" s="280">
        <f>'6 штат'!L13/12</f>
        <v>140008</v>
      </c>
      <c r="G30" s="280">
        <f>'6 штат'!L13/12</f>
        <v>140008</v>
      </c>
      <c r="H30" s="280">
        <f>'6 штат'!L13/12+1</f>
        <v>140009</v>
      </c>
      <c r="I30" s="1062">
        <f>ROUNDDOWN(SUM(F30:H30),0)</f>
        <v>420025</v>
      </c>
      <c r="J30" s="280">
        <f>'6 штат'!L13/12</f>
        <v>140008</v>
      </c>
      <c r="K30" s="280">
        <f>'6 штат'!L13/12</f>
        <v>140008</v>
      </c>
      <c r="L30" s="280">
        <f>'6 штат'!L13/12+1</f>
        <v>140009</v>
      </c>
      <c r="M30" s="1062">
        <f>ROUNDDOWN(SUM(J30:L30),0)</f>
        <v>420025</v>
      </c>
      <c r="N30" s="280">
        <f>'6 штат'!L13/12+1</f>
        <v>140009</v>
      </c>
      <c r="O30" s="280">
        <f>'6 штат'!L13/12</f>
        <v>140008</v>
      </c>
      <c r="P30" s="280">
        <f>'6 штат'!L13/12+'6 штат'!L15+1</f>
        <v>152289</v>
      </c>
      <c r="Q30" s="1062">
        <f>ROUNDDOWN(SUM(N30:P30),0)</f>
        <v>432306</v>
      </c>
      <c r="R30" s="1060">
        <f>SUM(E30,I30,M30,Q30)</f>
        <v>1692381</v>
      </c>
    </row>
    <row r="31" spans="1:18" s="35" customFormat="1" ht="16.5" customHeight="1">
      <c r="A31" s="499" t="s">
        <v>1573</v>
      </c>
      <c r="B31" s="279">
        <f>SUM(B32:B33)</f>
        <v>33136</v>
      </c>
      <c r="C31" s="279">
        <f aca="true" t="shared" si="12" ref="C31:P31">SUM(C32:C33)</f>
        <v>33136</v>
      </c>
      <c r="D31" s="279">
        <f>SUM(D32:D33)</f>
        <v>33136</v>
      </c>
      <c r="E31" s="279">
        <f>ROUNDDOWN(SUM(E32:E33),0)</f>
        <v>99408</v>
      </c>
      <c r="F31" s="279">
        <f t="shared" si="12"/>
        <v>35137</v>
      </c>
      <c r="G31" s="279">
        <f t="shared" si="12"/>
        <v>33137</v>
      </c>
      <c r="H31" s="279">
        <f t="shared" si="12"/>
        <v>33137</v>
      </c>
      <c r="I31" s="279">
        <f t="shared" si="12"/>
        <v>101411</v>
      </c>
      <c r="J31" s="279">
        <f t="shared" si="12"/>
        <v>33137</v>
      </c>
      <c r="K31" s="279">
        <f t="shared" si="12"/>
        <v>33137</v>
      </c>
      <c r="L31" s="279">
        <f t="shared" si="12"/>
        <v>33137</v>
      </c>
      <c r="M31" s="279">
        <f t="shared" si="12"/>
        <v>99411</v>
      </c>
      <c r="N31" s="279">
        <f t="shared" si="12"/>
        <v>33137</v>
      </c>
      <c r="O31" s="279">
        <f t="shared" si="12"/>
        <v>33136</v>
      </c>
      <c r="P31" s="279">
        <f t="shared" si="12"/>
        <v>129137</v>
      </c>
      <c r="Q31" s="279">
        <f>ROUNDDOWN(SUM(Q32:Q33),0)</f>
        <v>195410</v>
      </c>
      <c r="R31" s="873">
        <f>ROUNDUP(SUM(E31,I31,M31,Q31),0)</f>
        <v>495640</v>
      </c>
    </row>
    <row r="32" spans="1:18" ht="15" customHeight="1">
      <c r="A32" s="500" t="s">
        <v>208</v>
      </c>
      <c r="B32" s="280">
        <f>'7.1 инф'!H17</f>
        <v>22795</v>
      </c>
      <c r="C32" s="280">
        <f>'7.1 инф'!H17</f>
        <v>22795</v>
      </c>
      <c r="D32" s="280">
        <f>'7.1 инф'!$H$17</f>
        <v>22795</v>
      </c>
      <c r="E32" s="1062">
        <f>ROUNDUP(SUM(B32:D32),0)</f>
        <v>68385</v>
      </c>
      <c r="F32" s="280">
        <f>'7.1 инф'!H22+'7.1 инф'!H17</f>
        <v>24795</v>
      </c>
      <c r="G32" s="280">
        <f>'7.1 инф'!$H$17</f>
        <v>22795</v>
      </c>
      <c r="H32" s="280">
        <f>'7.1 инф'!$H$17</f>
        <v>22795</v>
      </c>
      <c r="I32" s="1062">
        <f>ROUNDUP(SUM(F32:H32),0)</f>
        <v>70385</v>
      </c>
      <c r="J32" s="280">
        <f>'7.1 инф'!$H$17</f>
        <v>22795</v>
      </c>
      <c r="K32" s="280">
        <f>'7.1 инф'!$H$17</f>
        <v>22795</v>
      </c>
      <c r="L32" s="280">
        <f>'7.1 инф'!$H$17</f>
        <v>22795</v>
      </c>
      <c r="M32" s="1062">
        <f>ROUNDUP(SUM(J32:L32),0)</f>
        <v>68385</v>
      </c>
      <c r="N32" s="280">
        <f>'7.1 инф'!$H$17</f>
        <v>22795</v>
      </c>
      <c r="O32" s="280">
        <f>'7.1 инф'!$H$17</f>
        <v>22795</v>
      </c>
      <c r="P32" s="365">
        <f>'7.1 инф'!H17+'7.1 инф'!H29+'7.1 инф'!H19</f>
        <v>50795</v>
      </c>
      <c r="Q32" s="1062">
        <f>ROUNDUP(SUM(N32:P32),0)</f>
        <v>96385</v>
      </c>
      <c r="R32" s="1060">
        <f>ROUNDUP(SUM(E32,I32,M32,Q32),0)</f>
        <v>303540</v>
      </c>
    </row>
    <row r="33" spans="1:18" ht="15" customHeight="1">
      <c r="A33" s="500" t="s">
        <v>1531</v>
      </c>
      <c r="B33" s="280">
        <f>ROUNDDOWN(('7.2 грамот'!G25-'7.2 грамот'!G23)/12,0)</f>
        <v>10341</v>
      </c>
      <c r="C33" s="280">
        <f>ROUNDDOWN(('7.2 грамот'!G25-'7.2 грамот'!G23)/12,0)</f>
        <v>10341</v>
      </c>
      <c r="D33" s="280">
        <f>ROUNDDOWN(('7.2 грамот'!G25-'7.2 грамот'!G23)/12,0)</f>
        <v>10341</v>
      </c>
      <c r="E33" s="1062">
        <f>SUM(B33:D33)</f>
        <v>31023</v>
      </c>
      <c r="F33" s="280">
        <f>ROUNDUP(('7.2 грамот'!G25-'7.2 грамот'!G23)/12,0)</f>
        <v>10342</v>
      </c>
      <c r="G33" s="280">
        <f>ROUNDUP(('7.2 грамот'!G25-'7.2 грамот'!G23)/12,0)</f>
        <v>10342</v>
      </c>
      <c r="H33" s="280">
        <f>ROUNDUP(('7.2 грамот'!G25-'7.2 грамот'!G23)/12,0)</f>
        <v>10342</v>
      </c>
      <c r="I33" s="1062">
        <f>ROUNDDOWN(SUM(F33:H33),0)</f>
        <v>31026</v>
      </c>
      <c r="J33" s="280">
        <f>ROUNDUP(('7.2 грамот'!G25-'7.2 грамот'!G23)/12,0)</f>
        <v>10342</v>
      </c>
      <c r="K33" s="280">
        <f>ROUNDUP(('7.2 грамот'!G25-'7.2 грамот'!G23)/12,0)</f>
        <v>10342</v>
      </c>
      <c r="L33" s="280">
        <f>ROUNDUP(('7.2 грамот'!G25-'7.2 грамот'!G23)/12,0)</f>
        <v>10342</v>
      </c>
      <c r="M33" s="1062">
        <f>ROUNDDOWN(SUM(J33:L33),0)</f>
        <v>31026</v>
      </c>
      <c r="N33" s="280">
        <f>ROUNDUP(('7.2 грамот'!G25-'7.2 грамот'!G23)/12,0)</f>
        <v>10342</v>
      </c>
      <c r="O33" s="280">
        <f>ROUNDDOWN(('7.2 грамот'!G25-'7.2 грамот'!G23)/12,0)</f>
        <v>10341</v>
      </c>
      <c r="P33" s="280">
        <f>('7.2 грамот'!G23+('7.2 грамот'!G6+'7.2 грамот'!G9+'7.2 грамот'!G14)/12)</f>
        <v>78342</v>
      </c>
      <c r="Q33" s="1062">
        <f>ROUNDDOWN(SUM(N33:P33),0)</f>
        <v>99025</v>
      </c>
      <c r="R33" s="1060">
        <f>SUM(E33,I33,M33,Q33)</f>
        <v>192100</v>
      </c>
    </row>
    <row r="34" spans="1:18" s="35" customFormat="1" ht="15" customHeight="1" thickBot="1">
      <c r="A34" s="519" t="s">
        <v>1532</v>
      </c>
      <c r="B34" s="1065">
        <f>('8 спортинв'!H5-'8 спортинв'!D5)/12+1</f>
        <v>68166</v>
      </c>
      <c r="C34" s="1065">
        <f>('8 спортинв'!H5-'8 спортинв'!D5)/12</f>
        <v>68165</v>
      </c>
      <c r="D34" s="1065">
        <f>('8 спортинв'!H5-'8 спортинв'!D5)/12</f>
        <v>68165</v>
      </c>
      <c r="E34" s="1065">
        <f>SUM(B34:D34)</f>
        <v>204496</v>
      </c>
      <c r="F34" s="1065">
        <f>('8 спортинв'!H5-'8 спортинв'!D5)/12+'8 спортинв'!D5</f>
        <v>720315</v>
      </c>
      <c r="G34" s="1065">
        <f>('8 спортинв'!H5-'8 спортинв'!D5)/12</f>
        <v>68165</v>
      </c>
      <c r="H34" s="1065">
        <f>('8 спортинв'!H5-'8 спортинв'!D5)/12</f>
        <v>68165</v>
      </c>
      <c r="I34" s="1065">
        <f>SUM(F34:H34)</f>
        <v>856645</v>
      </c>
      <c r="J34" s="1065">
        <f>('8 спортинв'!H5-'8 спортинв'!D5)/12</f>
        <v>68165</v>
      </c>
      <c r="K34" s="1065">
        <f>('8 спортинв'!H5-'8 спортинв'!D5)/12</f>
        <v>68165</v>
      </c>
      <c r="L34" s="1065">
        <f>('8 спортинв'!H5-'8 спортинв'!D5)/12</f>
        <v>68165</v>
      </c>
      <c r="M34" s="1065">
        <f>SUM(J34:L34)</f>
        <v>204495</v>
      </c>
      <c r="N34" s="1065">
        <f>('8 спортинв'!H5-'8 спортинв'!D5)/12</f>
        <v>68165</v>
      </c>
      <c r="O34" s="1065">
        <f>('8 спортинв'!H5-'8 спортинв'!D5)/12</f>
        <v>68165</v>
      </c>
      <c r="P34" s="1065">
        <f>('8 спортинв'!H5-'8 спортинв'!D5)/12</f>
        <v>68165</v>
      </c>
      <c r="Q34" s="1065">
        <f>ROUNDDOWN(SUM(N34:P34),0)</f>
        <v>204495</v>
      </c>
      <c r="R34" s="874">
        <f>SUM(E34,I34,M34,Q34)</f>
        <v>1470131</v>
      </c>
    </row>
    <row r="35" spans="1:18" s="35" customFormat="1" ht="15" customHeight="1" thickBot="1">
      <c r="A35" s="478" t="s">
        <v>265</v>
      </c>
      <c r="B35" s="1059">
        <f aca="true" t="shared" si="13" ref="B35:R35">SUM(B6,B15,B19,B24,B27,B29,B31,B34,)</f>
        <v>808857</v>
      </c>
      <c r="C35" s="1059">
        <f t="shared" si="13"/>
        <v>698420</v>
      </c>
      <c r="D35" s="1059">
        <f t="shared" si="13"/>
        <v>532134</v>
      </c>
      <c r="E35" s="1059">
        <f t="shared" si="13"/>
        <v>2039411</v>
      </c>
      <c r="F35" s="1059">
        <f t="shared" si="13"/>
        <v>1474068</v>
      </c>
      <c r="G35" s="1059">
        <f t="shared" si="13"/>
        <v>834335</v>
      </c>
      <c r="H35" s="1059">
        <f t="shared" si="13"/>
        <v>836724</v>
      </c>
      <c r="I35" s="1059">
        <f t="shared" si="13"/>
        <v>3145127</v>
      </c>
      <c r="J35" s="1059">
        <f t="shared" si="13"/>
        <v>428001</v>
      </c>
      <c r="K35" s="1059">
        <f t="shared" si="13"/>
        <v>600194</v>
      </c>
      <c r="L35" s="1059">
        <f t="shared" si="13"/>
        <v>519435</v>
      </c>
      <c r="M35" s="1059">
        <f t="shared" si="13"/>
        <v>1547630</v>
      </c>
      <c r="N35" s="1059">
        <f t="shared" si="13"/>
        <v>759957</v>
      </c>
      <c r="O35" s="1059">
        <f t="shared" si="13"/>
        <v>794058</v>
      </c>
      <c r="P35" s="1059">
        <f t="shared" si="13"/>
        <v>714109</v>
      </c>
      <c r="Q35" s="1059">
        <f t="shared" si="13"/>
        <v>2268124</v>
      </c>
      <c r="R35" s="1059">
        <f t="shared" si="13"/>
        <v>9000292</v>
      </c>
    </row>
    <row r="36" ht="12.75" customHeight="1">
      <c r="B36" s="22"/>
    </row>
    <row r="37" s="30" customFormat="1" ht="15">
      <c r="A37" s="506"/>
    </row>
    <row r="40" ht="10.5" customHeight="1"/>
  </sheetData>
  <mergeCells count="3">
    <mergeCell ref="A3:R3"/>
    <mergeCell ref="N2:R2"/>
    <mergeCell ref="Q1:R1"/>
  </mergeCells>
  <printOptions/>
  <pageMargins left="0.1968503937007874" right="0.1968503937007874" top="0.3937007874015748" bottom="0.1968503937007874" header="0" footer="0"/>
  <pageSetup firstPageNumber="15" useFirstPageNumber="1" horizontalDpi="300" verticalDpi="3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B11" sqref="B11"/>
    </sheetView>
  </sheetViews>
  <sheetFormatPr defaultColWidth="9.00390625" defaultRowHeight="12.75"/>
  <cols>
    <col min="1" max="1" width="4.875" style="0" customWidth="1"/>
    <col min="2" max="2" width="40.75390625" style="0" customWidth="1"/>
    <col min="3" max="3" width="14.25390625" style="0" customWidth="1"/>
    <col min="4" max="4" width="19.125" style="0" customWidth="1"/>
  </cols>
  <sheetData>
    <row r="1" spans="1:11" ht="33.75" customHeight="1">
      <c r="A1" s="2043" t="s">
        <v>427</v>
      </c>
      <c r="B1" s="2043"/>
      <c r="C1" s="2043"/>
      <c r="D1" s="2043"/>
      <c r="E1" s="25"/>
      <c r="F1" s="25"/>
      <c r="G1" s="25"/>
      <c r="H1" s="25"/>
      <c r="I1" s="25"/>
      <c r="J1" s="25"/>
      <c r="K1" s="25"/>
    </row>
    <row r="2" ht="13.5" thickBot="1">
      <c r="D2" s="112"/>
    </row>
    <row r="3" spans="1:4" s="27" customFormat="1" ht="48.75" customHeight="1">
      <c r="A3" s="1003" t="s">
        <v>1418</v>
      </c>
      <c r="B3" s="1004" t="s">
        <v>730</v>
      </c>
      <c r="C3" s="1004" t="s">
        <v>731</v>
      </c>
      <c r="D3" s="1005" t="s">
        <v>1313</v>
      </c>
    </row>
    <row r="4" spans="1:4" ht="12.75">
      <c r="A4" s="1006">
        <v>1</v>
      </c>
      <c r="B4" s="1001">
        <v>2</v>
      </c>
      <c r="C4" s="1001">
        <v>3</v>
      </c>
      <c r="D4" s="1007">
        <v>4</v>
      </c>
    </row>
    <row r="5" spans="1:4" s="292" customFormat="1" ht="33" customHeight="1">
      <c r="A5" s="1028" t="s">
        <v>1332</v>
      </c>
      <c r="B5" s="232" t="s">
        <v>1708</v>
      </c>
      <c r="C5" s="1002" t="s">
        <v>428</v>
      </c>
      <c r="D5" s="1008">
        <f>СВОДНАЯ!$R$6/1000</f>
        <v>645.6</v>
      </c>
    </row>
    <row r="6" spans="1:4" s="292" customFormat="1" ht="33" customHeight="1">
      <c r="A6" s="1028" t="s">
        <v>1333</v>
      </c>
      <c r="B6" s="232" t="str">
        <f>'Св.кал. пр 2'!B16</f>
        <v>Физкультурно-оздоровительная и профилактическая работа с населением</v>
      </c>
      <c r="C6" s="1002" t="s">
        <v>428</v>
      </c>
      <c r="D6" s="1008">
        <f>СВОДНАЯ!$R$15/1000</f>
        <v>1411.7</v>
      </c>
    </row>
    <row r="7" spans="1:4" s="292" customFormat="1" ht="33" customHeight="1">
      <c r="A7" s="1028" t="s">
        <v>1334</v>
      </c>
      <c r="B7" s="232" t="s">
        <v>1904</v>
      </c>
      <c r="C7" s="1002" t="s">
        <v>428</v>
      </c>
      <c r="D7" s="1008">
        <f>СВОДНАЯ!$R$19/1000</f>
        <v>1027.1</v>
      </c>
    </row>
    <row r="8" spans="1:4" s="292" customFormat="1" ht="40.5" customHeight="1">
      <c r="A8" s="1028" t="s">
        <v>1335</v>
      </c>
      <c r="B8" s="232" t="s">
        <v>1231</v>
      </c>
      <c r="C8" s="1002" t="s">
        <v>428</v>
      </c>
      <c r="D8" s="1008">
        <f>СВОДНАЯ!$R$24/1000</f>
        <v>2188.3</v>
      </c>
    </row>
    <row r="9" spans="1:4" s="292" customFormat="1" ht="33" customHeight="1">
      <c r="A9" s="1028" t="s">
        <v>1336</v>
      </c>
      <c r="B9" s="232" t="s">
        <v>1602</v>
      </c>
      <c r="C9" s="1002" t="s">
        <v>428</v>
      </c>
      <c r="D9" s="1008">
        <f>СВОДНАЯ!$R$27/1000</f>
        <v>69.4</v>
      </c>
    </row>
    <row r="10" spans="1:4" s="292" customFormat="1" ht="38.25" customHeight="1">
      <c r="A10" s="1028" t="s">
        <v>1337</v>
      </c>
      <c r="B10" s="232" t="s">
        <v>1317</v>
      </c>
      <c r="C10" s="1002" t="s">
        <v>428</v>
      </c>
      <c r="D10" s="1008">
        <f>СВОДНАЯ!$R$29/1000+0.1</f>
        <v>1692.5</v>
      </c>
    </row>
    <row r="11" spans="1:4" s="292" customFormat="1" ht="45" customHeight="1">
      <c r="A11" s="1028" t="s">
        <v>1338</v>
      </c>
      <c r="B11" s="232" t="s">
        <v>350</v>
      </c>
      <c r="C11" s="1002" t="s">
        <v>428</v>
      </c>
      <c r="D11" s="1008">
        <f>СВОДНАЯ!$R$31/1000</f>
        <v>495.6</v>
      </c>
    </row>
    <row r="12" spans="1:4" s="292" customFormat="1" ht="33" customHeight="1">
      <c r="A12" s="1028" t="s">
        <v>1339</v>
      </c>
      <c r="B12" s="232" t="s">
        <v>1316</v>
      </c>
      <c r="C12" s="1002" t="s">
        <v>428</v>
      </c>
      <c r="D12" s="1008">
        <f>СВОДНАЯ!$R$34/1000</f>
        <v>1470.1</v>
      </c>
    </row>
    <row r="13" spans="1:4" s="292" customFormat="1" ht="33" customHeight="1" thickBot="1">
      <c r="A13" s="1009"/>
      <c r="B13" s="298" t="s">
        <v>265</v>
      </c>
      <c r="C13" s="678"/>
      <c r="D13" s="1010">
        <f>SUM(D5:D12)</f>
        <v>9000.3</v>
      </c>
    </row>
    <row r="14" spans="1:4" ht="12.75">
      <c r="A14" s="31"/>
      <c r="B14" s="31"/>
      <c r="C14" s="31"/>
      <c r="D14" s="31"/>
    </row>
    <row r="15" spans="1:4" ht="27.75" customHeight="1">
      <c r="A15" s="2044"/>
      <c r="B15" s="2044"/>
      <c r="C15" s="2044"/>
      <c r="D15" s="2044"/>
    </row>
    <row r="16" spans="1:4" ht="12.75">
      <c r="A16" s="31"/>
      <c r="B16" s="31"/>
      <c r="C16" s="31"/>
      <c r="D16" s="31"/>
    </row>
    <row r="17" spans="1:4" ht="12.75">
      <c r="A17" s="31"/>
      <c r="B17" s="31"/>
      <c r="C17" s="31"/>
      <c r="D17" s="31"/>
    </row>
    <row r="18" ht="12.75">
      <c r="A18" s="4"/>
    </row>
  </sheetData>
  <mergeCells count="2">
    <mergeCell ref="A1:D1"/>
    <mergeCell ref="A15:D15"/>
  </mergeCells>
  <printOptions/>
  <pageMargins left="1.1811023622047245" right="0.5905511811023623" top="0.7874015748031497" bottom="0.5905511811023623" header="0.5118110236220472" footer="0.5118110236220472"/>
  <pageSetup firstPageNumber="14" useFirstPageNumber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/>
  <dimension ref="A2:M755"/>
  <sheetViews>
    <sheetView view="pageBreakPreview" zoomScale="75" zoomScaleNormal="75" zoomScaleSheetLayoutView="75" workbookViewId="0" topLeftCell="A652">
      <selection activeCell="K653" sqref="K653"/>
    </sheetView>
  </sheetViews>
  <sheetFormatPr defaultColWidth="9.00390625" defaultRowHeight="12.75"/>
  <cols>
    <col min="1" max="1" width="3.375" style="551" customWidth="1"/>
    <col min="2" max="2" width="35.00390625" style="440" customWidth="1"/>
    <col min="3" max="3" width="4.375" style="552" customWidth="1"/>
    <col min="4" max="4" width="8.00390625" style="405" customWidth="1"/>
    <col min="5" max="5" width="11.125" style="405" customWidth="1"/>
    <col min="6" max="6" width="13.25390625" style="405" hidden="1" customWidth="1"/>
    <col min="7" max="7" width="0.2421875" style="405" hidden="1" customWidth="1"/>
    <col min="8" max="8" width="5.75390625" style="553" hidden="1" customWidth="1"/>
    <col min="9" max="9" width="0.2421875" style="405" customWidth="1"/>
    <col min="10" max="10" width="0.37109375" style="405" hidden="1" customWidth="1"/>
    <col min="11" max="11" width="13.375" style="554" customWidth="1"/>
    <col min="12" max="12" width="10.875" style="405" customWidth="1"/>
    <col min="13" max="13" width="11.75390625" style="543" customWidth="1"/>
    <col min="14" max="16384" width="9.125" style="440" customWidth="1"/>
  </cols>
  <sheetData>
    <row r="1" ht="15.75" customHeight="1" hidden="1"/>
    <row r="2" ht="8.25" customHeight="1" hidden="1" thickBot="1">
      <c r="A2" s="551" t="s">
        <v>1878</v>
      </c>
    </row>
    <row r="3" spans="1:13" ht="0.75" customHeight="1" thickBot="1">
      <c r="A3" s="551" t="s">
        <v>311</v>
      </c>
      <c r="M3" s="540"/>
    </row>
    <row r="4" spans="1:13" ht="14.25" customHeight="1" thickBot="1">
      <c r="A4" s="2047" t="s">
        <v>905</v>
      </c>
      <c r="B4" s="2049" t="s">
        <v>317</v>
      </c>
      <c r="C4" s="2051" t="s">
        <v>1625</v>
      </c>
      <c r="D4" s="549" t="s">
        <v>362</v>
      </c>
      <c r="E4" s="555" t="s">
        <v>363</v>
      </c>
      <c r="F4" s="2045" t="s">
        <v>906</v>
      </c>
      <c r="G4" s="2045" t="s">
        <v>907</v>
      </c>
      <c r="H4" s="2045" t="s">
        <v>359</v>
      </c>
      <c r="I4" s="2045" t="s">
        <v>360</v>
      </c>
      <c r="J4" s="2045" t="s">
        <v>775</v>
      </c>
      <c r="K4" s="2057" t="s">
        <v>366</v>
      </c>
      <c r="L4" s="2058"/>
      <c r="M4" s="540"/>
    </row>
    <row r="5" spans="1:13" ht="12.75" customHeight="1" thickBot="1">
      <c r="A5" s="2048"/>
      <c r="B5" s="2050"/>
      <c r="C5" s="2052"/>
      <c r="D5" s="550" t="s">
        <v>361</v>
      </c>
      <c r="E5" s="556" t="s">
        <v>361</v>
      </c>
      <c r="F5" s="2046"/>
      <c r="G5" s="2046"/>
      <c r="H5" s="2046"/>
      <c r="I5" s="2046"/>
      <c r="J5" s="2046"/>
      <c r="K5" s="557" t="s">
        <v>364</v>
      </c>
      <c r="L5" s="951" t="s">
        <v>365</v>
      </c>
      <c r="M5" s="540"/>
    </row>
    <row r="6" spans="1:13" ht="16.5" customHeight="1">
      <c r="A6" s="585">
        <v>1</v>
      </c>
      <c r="B6" s="544" t="s">
        <v>498</v>
      </c>
      <c r="C6" s="586" t="s">
        <v>1821</v>
      </c>
      <c r="D6" s="401" t="s">
        <v>924</v>
      </c>
      <c r="E6" s="401" t="s">
        <v>1628</v>
      </c>
      <c r="F6" s="401"/>
      <c r="G6" s="401"/>
      <c r="H6" s="587"/>
      <c r="I6" s="401"/>
      <c r="J6" s="401"/>
      <c r="K6" s="540">
        <f>'ПРИЛ №3'!$G$103</f>
        <v>14205</v>
      </c>
      <c r="L6" s="954"/>
      <c r="M6" s="540">
        <f>K6-L6</f>
        <v>14205</v>
      </c>
    </row>
    <row r="7" spans="1:13" s="567" customFormat="1" ht="12">
      <c r="A7" s="522"/>
      <c r="B7" s="581" t="s">
        <v>1369</v>
      </c>
      <c r="C7" s="582"/>
      <c r="D7" s="581"/>
      <c r="E7" s="581"/>
      <c r="F7" s="581"/>
      <c r="G7" s="581"/>
      <c r="H7" s="583"/>
      <c r="I7" s="581"/>
      <c r="J7" s="581"/>
      <c r="K7" s="584">
        <f>SUM(K6:K6)</f>
        <v>14205</v>
      </c>
      <c r="L7" s="584">
        <f>SUM(L6:L6)</f>
        <v>0</v>
      </c>
      <c r="M7" s="584">
        <f>SUM(M6:M6)</f>
        <v>14205</v>
      </c>
    </row>
    <row r="8" spans="1:13" s="574" customFormat="1" ht="12.75" thickBot="1">
      <c r="A8" s="568"/>
      <c r="B8" s="569" t="s">
        <v>56</v>
      </c>
      <c r="C8" s="570"/>
      <c r="D8" s="571"/>
      <c r="E8" s="571"/>
      <c r="F8" s="571"/>
      <c r="G8" s="571"/>
      <c r="H8" s="572"/>
      <c r="I8" s="571"/>
      <c r="J8" s="571"/>
      <c r="K8" s="573">
        <f>SUM(K7)</f>
        <v>14205</v>
      </c>
      <c r="L8" s="573">
        <f>SUM(L7)</f>
        <v>0</v>
      </c>
      <c r="M8" s="573">
        <f>SUM(M7)</f>
        <v>14205</v>
      </c>
    </row>
    <row r="9" spans="1:13" ht="12.75" thickBot="1">
      <c r="A9" s="551" t="s">
        <v>1213</v>
      </c>
      <c r="B9" s="588"/>
      <c r="C9" s="589"/>
      <c r="D9" s="402"/>
      <c r="E9" s="402"/>
      <c r="F9" s="402"/>
      <c r="G9" s="402"/>
      <c r="H9" s="590"/>
      <c r="I9" s="402"/>
      <c r="J9" s="402"/>
      <c r="K9" s="591"/>
      <c r="L9" s="402"/>
      <c r="M9" s="540"/>
    </row>
    <row r="10" spans="1:13" ht="15" customHeight="1" thickBot="1">
      <c r="A10" s="2047" t="s">
        <v>905</v>
      </c>
      <c r="B10" s="2049" t="s">
        <v>317</v>
      </c>
      <c r="C10" s="2051" t="s">
        <v>1625</v>
      </c>
      <c r="D10" s="549" t="s">
        <v>362</v>
      </c>
      <c r="E10" s="555" t="s">
        <v>363</v>
      </c>
      <c r="F10" s="2045" t="s">
        <v>906</v>
      </c>
      <c r="G10" s="2045" t="s">
        <v>907</v>
      </c>
      <c r="H10" s="2045" t="s">
        <v>359</v>
      </c>
      <c r="I10" s="2045" t="s">
        <v>360</v>
      </c>
      <c r="J10" s="2045" t="s">
        <v>775</v>
      </c>
      <c r="K10" s="2057" t="s">
        <v>366</v>
      </c>
      <c r="L10" s="2058"/>
      <c r="M10" s="540"/>
    </row>
    <row r="11" spans="1:13" ht="16.5" customHeight="1" thickBot="1">
      <c r="A11" s="2048"/>
      <c r="B11" s="2050"/>
      <c r="C11" s="2052"/>
      <c r="D11" s="550" t="s">
        <v>361</v>
      </c>
      <c r="E11" s="556" t="s">
        <v>361</v>
      </c>
      <c r="F11" s="2046"/>
      <c r="G11" s="2046"/>
      <c r="H11" s="2046"/>
      <c r="I11" s="2046"/>
      <c r="J11" s="2046"/>
      <c r="K11" s="557" t="s">
        <v>364</v>
      </c>
      <c r="L11" s="951" t="s">
        <v>365</v>
      </c>
      <c r="M11" s="540"/>
    </row>
    <row r="12" spans="1:13" ht="26.25" customHeight="1">
      <c r="A12" s="876">
        <v>1</v>
      </c>
      <c r="B12" s="657" t="s">
        <v>1179</v>
      </c>
      <c r="C12" s="593" t="s">
        <v>1378</v>
      </c>
      <c r="D12" s="594" t="s">
        <v>924</v>
      </c>
      <c r="E12" s="594" t="s">
        <v>1628</v>
      </c>
      <c r="F12" s="594"/>
      <c r="G12" s="594"/>
      <c r="H12" s="594"/>
      <c r="I12" s="238" t="s">
        <v>928</v>
      </c>
      <c r="J12" s="594"/>
      <c r="K12" s="607">
        <f>'ПРИЛ №3'!G28</f>
        <v>4005</v>
      </c>
      <c r="L12" s="955"/>
      <c r="M12" s="540">
        <f>K12-L12</f>
        <v>4005</v>
      </c>
    </row>
    <row r="13" spans="1:13" ht="23.25" customHeight="1">
      <c r="A13" s="608">
        <v>2</v>
      </c>
      <c r="B13" s="870" t="s">
        <v>1177</v>
      </c>
      <c r="C13" s="560" t="s">
        <v>1378</v>
      </c>
      <c r="D13" s="561" t="s">
        <v>944</v>
      </c>
      <c r="E13" s="561" t="s">
        <v>1628</v>
      </c>
      <c r="F13" s="561"/>
      <c r="G13" s="561"/>
      <c r="H13" s="561"/>
      <c r="I13" s="264" t="s">
        <v>928</v>
      </c>
      <c r="J13" s="561"/>
      <c r="K13" s="538">
        <f>'ПРИЛ №3'!G39</f>
        <v>4848</v>
      </c>
      <c r="L13" s="956"/>
      <c r="M13" s="540">
        <f>K13-L13</f>
        <v>4848</v>
      </c>
    </row>
    <row r="14" spans="1:13" ht="25.5" customHeight="1">
      <c r="A14" s="608">
        <v>3</v>
      </c>
      <c r="B14" s="870" t="s">
        <v>1178</v>
      </c>
      <c r="C14" s="560" t="s">
        <v>1378</v>
      </c>
      <c r="D14" s="561" t="s">
        <v>1424</v>
      </c>
      <c r="E14" s="561" t="s">
        <v>1628</v>
      </c>
      <c r="F14" s="561"/>
      <c r="G14" s="561"/>
      <c r="H14" s="561"/>
      <c r="I14" s="264" t="s">
        <v>928</v>
      </c>
      <c r="J14" s="561"/>
      <c r="K14" s="538">
        <f>'ПРИЛ №3'!H41</f>
        <v>4848</v>
      </c>
      <c r="L14" s="956"/>
      <c r="M14" s="540">
        <f>K14-L14</f>
        <v>4848</v>
      </c>
    </row>
    <row r="15" spans="1:13" ht="12">
      <c r="A15" s="881"/>
      <c r="B15" s="563" t="s">
        <v>497</v>
      </c>
      <c r="C15" s="560"/>
      <c r="D15" s="561"/>
      <c r="E15" s="561"/>
      <c r="F15" s="561"/>
      <c r="G15" s="561"/>
      <c r="H15" s="561"/>
      <c r="I15" s="561"/>
      <c r="J15" s="561"/>
      <c r="K15" s="886">
        <f>SUM(K12:K14)</f>
        <v>13701</v>
      </c>
      <c r="L15" s="886">
        <f>SUM(L12:L14)</f>
        <v>0</v>
      </c>
      <c r="M15" s="886">
        <f>SUM(M12:M14)</f>
        <v>13701</v>
      </c>
    </row>
    <row r="16" spans="1:13" ht="24.75" customHeight="1">
      <c r="A16" s="522">
        <v>1</v>
      </c>
      <c r="B16" s="402" t="s">
        <v>1903</v>
      </c>
      <c r="C16" s="560" t="s">
        <v>1379</v>
      </c>
      <c r="D16" s="406" t="s">
        <v>923</v>
      </c>
      <c r="E16" s="406" t="s">
        <v>948</v>
      </c>
      <c r="F16" s="406"/>
      <c r="G16" s="406"/>
      <c r="H16" s="561"/>
      <c r="I16" s="406" t="s">
        <v>929</v>
      </c>
      <c r="J16" s="406"/>
      <c r="K16" s="580">
        <f>'ПРИЛ №3'!$G$44</f>
        <v>22000</v>
      </c>
      <c r="L16" s="436"/>
      <c r="M16" s="540">
        <f>K16-L16</f>
        <v>22000</v>
      </c>
    </row>
    <row r="17" spans="1:13" ht="27" customHeight="1">
      <c r="A17" s="522">
        <v>2</v>
      </c>
      <c r="B17" s="406" t="s">
        <v>1309</v>
      </c>
      <c r="C17" s="560" t="s">
        <v>1379</v>
      </c>
      <c r="D17" s="406" t="s">
        <v>924</v>
      </c>
      <c r="E17" s="406" t="s">
        <v>948</v>
      </c>
      <c r="F17" s="406"/>
      <c r="G17" s="406"/>
      <c r="H17" s="561"/>
      <c r="I17" s="406" t="s">
        <v>929</v>
      </c>
      <c r="J17" s="406"/>
      <c r="K17" s="580">
        <f>'ПРИЛ №3'!$G$47</f>
        <v>14400</v>
      </c>
      <c r="L17" s="436"/>
      <c r="M17" s="540">
        <f>K17-L17</f>
        <v>14400</v>
      </c>
    </row>
    <row r="18" spans="1:13" s="567" customFormat="1" ht="12">
      <c r="A18" s="522"/>
      <c r="B18" s="581" t="s">
        <v>1883</v>
      </c>
      <c r="C18" s="582"/>
      <c r="D18" s="581"/>
      <c r="E18" s="581"/>
      <c r="F18" s="581"/>
      <c r="G18" s="581"/>
      <c r="H18" s="583"/>
      <c r="I18" s="581"/>
      <c r="J18" s="581"/>
      <c r="K18" s="584">
        <f>SUM(K16:K17)</f>
        <v>36400</v>
      </c>
      <c r="L18" s="584">
        <f>SUM(L16:L17)</f>
        <v>0</v>
      </c>
      <c r="M18" s="584">
        <f>SUM(M16:M17)</f>
        <v>36400</v>
      </c>
    </row>
    <row r="19" spans="1:13" ht="18" customHeight="1">
      <c r="A19" s="522">
        <v>1</v>
      </c>
      <c r="B19" s="543" t="s">
        <v>416</v>
      </c>
      <c r="C19" s="560" t="s">
        <v>1126</v>
      </c>
      <c r="D19" s="406" t="s">
        <v>923</v>
      </c>
      <c r="E19" s="406" t="s">
        <v>1628</v>
      </c>
      <c r="F19" s="406"/>
      <c r="G19" s="406"/>
      <c r="H19" s="561"/>
      <c r="I19" s="406" t="s">
        <v>1372</v>
      </c>
      <c r="J19" s="406"/>
      <c r="K19" s="580">
        <f>'ПРИЛ №3'!G95</f>
        <v>12128</v>
      </c>
      <c r="L19" s="436"/>
      <c r="M19" s="540">
        <f>K19-L19</f>
        <v>12128</v>
      </c>
    </row>
    <row r="20" spans="1:13" ht="24.75" customHeight="1">
      <c r="A20" s="522">
        <v>1</v>
      </c>
      <c r="B20" s="264" t="s">
        <v>1463</v>
      </c>
      <c r="C20" s="560" t="s">
        <v>1126</v>
      </c>
      <c r="D20" s="406" t="s">
        <v>925</v>
      </c>
      <c r="E20" s="406" t="s">
        <v>1628</v>
      </c>
      <c r="F20" s="406"/>
      <c r="G20" s="406"/>
      <c r="H20" s="561"/>
      <c r="I20" s="406" t="s">
        <v>1372</v>
      </c>
      <c r="J20" s="406"/>
      <c r="K20" s="580">
        <f>'ПРИЛ №3'!G112</f>
        <v>10394</v>
      </c>
      <c r="L20" s="436"/>
      <c r="M20" s="540">
        <f>K20-L20</f>
        <v>10394</v>
      </c>
    </row>
    <row r="21" spans="1:13" ht="15" customHeight="1">
      <c r="A21" s="522">
        <v>2</v>
      </c>
      <c r="B21" s="543" t="s">
        <v>1544</v>
      </c>
      <c r="C21" s="560" t="s">
        <v>1126</v>
      </c>
      <c r="D21" s="406" t="s">
        <v>1629</v>
      </c>
      <c r="E21" s="406" t="s">
        <v>1628</v>
      </c>
      <c r="F21" s="406"/>
      <c r="G21" s="406"/>
      <c r="H21" s="561"/>
      <c r="I21" s="406" t="s">
        <v>1372</v>
      </c>
      <c r="J21" s="406"/>
      <c r="K21" s="580">
        <f>'ПРИЛ №3'!G146</f>
        <v>14080</v>
      </c>
      <c r="L21" s="436"/>
      <c r="M21" s="540">
        <f>K21-L21</f>
        <v>14080</v>
      </c>
    </row>
    <row r="22" spans="1:13" ht="14.25" customHeight="1">
      <c r="A22" s="522">
        <v>3</v>
      </c>
      <c r="B22" s="543" t="s">
        <v>1545</v>
      </c>
      <c r="C22" s="593" t="s">
        <v>1821</v>
      </c>
      <c r="D22" s="406" t="s">
        <v>1629</v>
      </c>
      <c r="E22" s="406" t="s">
        <v>1628</v>
      </c>
      <c r="F22" s="406"/>
      <c r="G22" s="406"/>
      <c r="H22" s="561"/>
      <c r="I22" s="406"/>
      <c r="J22" s="406"/>
      <c r="K22" s="580">
        <f>'ПРИЛ №3'!G147</f>
        <v>23904</v>
      </c>
      <c r="L22" s="436"/>
      <c r="M22" s="540">
        <f>K22-L22</f>
        <v>23904</v>
      </c>
    </row>
    <row r="23" spans="1:13" ht="15" customHeight="1">
      <c r="A23" s="562">
        <v>2</v>
      </c>
      <c r="B23" s="245" t="s">
        <v>1648</v>
      </c>
      <c r="C23" s="593" t="s">
        <v>1821</v>
      </c>
      <c r="D23" s="404" t="s">
        <v>944</v>
      </c>
      <c r="E23" s="404" t="s">
        <v>1426</v>
      </c>
      <c r="F23" s="404"/>
      <c r="G23" s="404"/>
      <c r="H23" s="594"/>
      <c r="I23" s="264" t="s">
        <v>1052</v>
      </c>
      <c r="J23" s="404"/>
      <c r="K23" s="595">
        <f>'ПРИЛ №3'!G180</f>
        <v>2795</v>
      </c>
      <c r="L23" s="957"/>
      <c r="M23" s="540">
        <f>K23-L23</f>
        <v>2795</v>
      </c>
    </row>
    <row r="24" spans="1:13" s="567" customFormat="1" ht="14.25" customHeight="1">
      <c r="A24" s="592"/>
      <c r="B24" s="596" t="s">
        <v>558</v>
      </c>
      <c r="C24" s="564"/>
      <c r="D24" s="563"/>
      <c r="E24" s="581"/>
      <c r="F24" s="563"/>
      <c r="G24" s="563"/>
      <c r="H24" s="565"/>
      <c r="I24" s="581"/>
      <c r="J24" s="563"/>
      <c r="K24" s="566">
        <f>SUM(K19:K23)</f>
        <v>63301</v>
      </c>
      <c r="L24" s="566">
        <f>SUM(L19:L23)</f>
        <v>0</v>
      </c>
      <c r="M24" s="566">
        <f>SUM(M19:M23)</f>
        <v>63301</v>
      </c>
    </row>
    <row r="25" spans="1:13" ht="18.75" customHeight="1">
      <c r="A25" s="562">
        <v>4</v>
      </c>
      <c r="B25" s="264" t="s">
        <v>1911</v>
      </c>
      <c r="C25" s="560" t="s">
        <v>1822</v>
      </c>
      <c r="D25" s="404" t="s">
        <v>944</v>
      </c>
      <c r="E25" s="406" t="s">
        <v>1628</v>
      </c>
      <c r="F25" s="404"/>
      <c r="G25" s="404"/>
      <c r="H25" s="594"/>
      <c r="I25" s="406" t="s">
        <v>1372</v>
      </c>
      <c r="J25" s="404"/>
      <c r="K25" s="595">
        <f>'ПРИЛ №3'!G268</f>
        <v>14184</v>
      </c>
      <c r="L25" s="957"/>
      <c r="M25" s="540">
        <f>K25-L25</f>
        <v>14184</v>
      </c>
    </row>
    <row r="26" spans="1:13" s="567" customFormat="1" ht="14.25" customHeight="1">
      <c r="A26" s="562"/>
      <c r="B26" s="592" t="s">
        <v>876</v>
      </c>
      <c r="C26" s="564"/>
      <c r="D26" s="563"/>
      <c r="E26" s="563"/>
      <c r="F26" s="563"/>
      <c r="G26" s="563"/>
      <c r="H26" s="565"/>
      <c r="I26" s="563"/>
      <c r="J26" s="563"/>
      <c r="K26" s="566">
        <f>SUM(K25)</f>
        <v>14184</v>
      </c>
      <c r="L26" s="566">
        <f>SUM(L25)</f>
        <v>0</v>
      </c>
      <c r="M26" s="566">
        <f>SUM(M25)</f>
        <v>14184</v>
      </c>
    </row>
    <row r="27" spans="1:13" ht="18" customHeight="1">
      <c r="A27" s="597">
        <v>3</v>
      </c>
      <c r="B27" s="544" t="s">
        <v>129</v>
      </c>
      <c r="C27" s="598" t="s">
        <v>205</v>
      </c>
      <c r="D27" s="438" t="s">
        <v>1425</v>
      </c>
      <c r="E27" s="406" t="s">
        <v>948</v>
      </c>
      <c r="F27" s="438"/>
      <c r="G27" s="438"/>
      <c r="H27" s="599"/>
      <c r="I27" s="406" t="s">
        <v>1372</v>
      </c>
      <c r="J27" s="438"/>
      <c r="K27" s="600">
        <f>'ПРИЛ №3'!G358</f>
        <v>23100</v>
      </c>
      <c r="L27" s="958"/>
      <c r="M27" s="540">
        <f>K27-L27</f>
        <v>23100</v>
      </c>
    </row>
    <row r="28" spans="1:13" s="567" customFormat="1" ht="14.25" customHeight="1">
      <c r="A28" s="562">
        <v>1</v>
      </c>
      <c r="B28" s="545" t="str">
        <f>'ПРИЛ №3'!C339</f>
        <v>Кубок Губернатора по баскетболу</v>
      </c>
      <c r="C28" s="593" t="s">
        <v>205</v>
      </c>
      <c r="D28" s="404" t="s">
        <v>332</v>
      </c>
      <c r="E28" s="404" t="s">
        <v>948</v>
      </c>
      <c r="F28" s="404"/>
      <c r="G28" s="404"/>
      <c r="H28" s="594"/>
      <c r="I28" s="406" t="s">
        <v>1372</v>
      </c>
      <c r="J28" s="404"/>
      <c r="K28" s="580">
        <f>'ПРИЛ №3'!G339</f>
        <v>15400</v>
      </c>
      <c r="L28" s="957"/>
      <c r="M28" s="540">
        <f>K28-L28</f>
        <v>15400</v>
      </c>
    </row>
    <row r="29" spans="1:13" ht="17.25" customHeight="1">
      <c r="A29" s="522">
        <v>2</v>
      </c>
      <c r="B29" s="543" t="s">
        <v>460</v>
      </c>
      <c r="C29" s="560" t="s">
        <v>205</v>
      </c>
      <c r="D29" s="406" t="s">
        <v>1629</v>
      </c>
      <c r="E29" s="406" t="s">
        <v>948</v>
      </c>
      <c r="F29" s="406"/>
      <c r="G29" s="406"/>
      <c r="H29" s="561"/>
      <c r="I29" s="406" t="s">
        <v>1372</v>
      </c>
      <c r="J29" s="406"/>
      <c r="K29" s="580">
        <f>'ПРИЛ №3'!G348</f>
        <v>12000</v>
      </c>
      <c r="L29" s="436"/>
      <c r="M29" s="540">
        <f>K29-L29</f>
        <v>12000</v>
      </c>
    </row>
    <row r="30" spans="1:13" s="567" customFormat="1" ht="12.75" thickBot="1">
      <c r="A30" s="601"/>
      <c r="B30" s="602" t="s">
        <v>560</v>
      </c>
      <c r="C30" s="603"/>
      <c r="D30" s="604"/>
      <c r="E30" s="604"/>
      <c r="F30" s="604"/>
      <c r="G30" s="604"/>
      <c r="H30" s="605"/>
      <c r="I30" s="604"/>
      <c r="J30" s="604"/>
      <c r="K30" s="606">
        <f>SUM(K28:K29)</f>
        <v>27400</v>
      </c>
      <c r="L30" s="606">
        <f>SUM(L28:L29)</f>
        <v>0</v>
      </c>
      <c r="M30" s="606">
        <f>SUM(M28:M29)</f>
        <v>27400</v>
      </c>
    </row>
    <row r="31" spans="1:13" s="574" customFormat="1" ht="12">
      <c r="A31" s="524"/>
      <c r="B31" s="524" t="s">
        <v>56</v>
      </c>
      <c r="C31" s="576"/>
      <c r="D31" s="577"/>
      <c r="E31" s="577"/>
      <c r="F31" s="577"/>
      <c r="G31" s="577"/>
      <c r="H31" s="578"/>
      <c r="I31" s="577"/>
      <c r="J31" s="577"/>
      <c r="K31" s="579">
        <f>K30+K26+K24+K18+K15</f>
        <v>154986</v>
      </c>
      <c r="L31" s="579">
        <f>L30+L26+L24+L18+L15</f>
        <v>0</v>
      </c>
      <c r="M31" s="579">
        <f>M30+M26+M24+M18+M15</f>
        <v>154986</v>
      </c>
    </row>
    <row r="32" spans="1:13" ht="12.75" thickBot="1">
      <c r="A32" s="551" t="s">
        <v>942</v>
      </c>
      <c r="M32" s="540"/>
    </row>
    <row r="33" spans="1:13" ht="15.75" customHeight="1" thickBot="1">
      <c r="A33" s="2047" t="s">
        <v>905</v>
      </c>
      <c r="B33" s="2049" t="s">
        <v>317</v>
      </c>
      <c r="C33" s="2051" t="s">
        <v>1625</v>
      </c>
      <c r="D33" s="549" t="s">
        <v>362</v>
      </c>
      <c r="E33" s="555" t="s">
        <v>363</v>
      </c>
      <c r="F33" s="2045" t="s">
        <v>906</v>
      </c>
      <c r="G33" s="2045" t="s">
        <v>907</v>
      </c>
      <c r="H33" s="2045" t="s">
        <v>359</v>
      </c>
      <c r="I33" s="2045" t="s">
        <v>360</v>
      </c>
      <c r="J33" s="2045" t="s">
        <v>775</v>
      </c>
      <c r="K33" s="2057" t="s">
        <v>366</v>
      </c>
      <c r="L33" s="2058"/>
      <c r="M33" s="540"/>
    </row>
    <row r="34" spans="1:13" ht="14.25" customHeight="1" thickBot="1">
      <c r="A34" s="2048"/>
      <c r="B34" s="2050"/>
      <c r="C34" s="2052"/>
      <c r="D34" s="550" t="s">
        <v>361</v>
      </c>
      <c r="E34" s="556" t="s">
        <v>361</v>
      </c>
      <c r="F34" s="2046"/>
      <c r="G34" s="2046"/>
      <c r="H34" s="2046"/>
      <c r="I34" s="2046"/>
      <c r="J34" s="2046"/>
      <c r="K34" s="557" t="s">
        <v>364</v>
      </c>
      <c r="L34" s="951" t="s">
        <v>365</v>
      </c>
      <c r="M34" s="540"/>
    </row>
    <row r="35" spans="1:13" ht="18" customHeight="1">
      <c r="A35" s="522">
        <v>7</v>
      </c>
      <c r="B35" s="401" t="s">
        <v>1204</v>
      </c>
      <c r="C35" s="560" t="s">
        <v>205</v>
      </c>
      <c r="D35" s="406" t="s">
        <v>1651</v>
      </c>
      <c r="E35" s="406" t="s">
        <v>1211</v>
      </c>
      <c r="F35" s="406"/>
      <c r="G35" s="406"/>
      <c r="H35" s="561"/>
      <c r="I35" s="404" t="s">
        <v>1372</v>
      </c>
      <c r="J35" s="406"/>
      <c r="K35" s="580">
        <f>'ПРИЛ №3'!G331</f>
        <v>46500</v>
      </c>
      <c r="L35" s="436"/>
      <c r="M35" s="540">
        <f>K35-L35</f>
        <v>46500</v>
      </c>
    </row>
    <row r="36" spans="1:13" ht="17.25" customHeight="1">
      <c r="A36" s="522">
        <v>8</v>
      </c>
      <c r="B36" s="406" t="s">
        <v>1112</v>
      </c>
      <c r="C36" s="593" t="s">
        <v>205</v>
      </c>
      <c r="D36" s="406" t="s">
        <v>1629</v>
      </c>
      <c r="E36" s="406" t="s">
        <v>1238</v>
      </c>
      <c r="F36" s="406"/>
      <c r="G36" s="406"/>
      <c r="H36" s="561"/>
      <c r="I36" s="404" t="s">
        <v>1372</v>
      </c>
      <c r="J36" s="406"/>
      <c r="K36" s="580">
        <f>'ПРИЛ №3'!G352</f>
        <v>14000</v>
      </c>
      <c r="L36" s="436"/>
      <c r="M36" s="540">
        <f>K36-L36</f>
        <v>14000</v>
      </c>
    </row>
    <row r="37" spans="1:13" ht="21" customHeight="1">
      <c r="A37" s="522">
        <v>9</v>
      </c>
      <c r="B37" s="406" t="s">
        <v>880</v>
      </c>
      <c r="C37" s="560" t="s">
        <v>205</v>
      </c>
      <c r="D37" s="406" t="s">
        <v>944</v>
      </c>
      <c r="E37" s="406" t="s">
        <v>457</v>
      </c>
      <c r="F37" s="406"/>
      <c r="G37" s="406"/>
      <c r="H37" s="561"/>
      <c r="I37" s="404" t="s">
        <v>1372</v>
      </c>
      <c r="J37" s="406"/>
      <c r="K37" s="580">
        <f>'ПРИЛ №3'!G361</f>
        <v>17000</v>
      </c>
      <c r="L37" s="436"/>
      <c r="M37" s="540">
        <f>K37-L37</f>
        <v>17000</v>
      </c>
    </row>
    <row r="38" spans="1:13" ht="18" customHeight="1">
      <c r="A38" s="522">
        <v>10</v>
      </c>
      <c r="B38" s="406" t="s">
        <v>808</v>
      </c>
      <c r="C38" s="593" t="s">
        <v>205</v>
      </c>
      <c r="D38" s="438" t="s">
        <v>944</v>
      </c>
      <c r="E38" s="438" t="s">
        <v>1212</v>
      </c>
      <c r="F38" s="438"/>
      <c r="G38" s="438"/>
      <c r="H38" s="599"/>
      <c r="I38" s="404" t="s">
        <v>1372</v>
      </c>
      <c r="J38" s="438"/>
      <c r="K38" s="600">
        <f>'ПРИЛ №3'!G362</f>
        <v>3320</v>
      </c>
      <c r="L38" s="958"/>
      <c r="M38" s="540">
        <f>K38-L38</f>
        <v>3320</v>
      </c>
    </row>
    <row r="39" spans="1:13" s="567" customFormat="1" ht="17.25" customHeight="1" thickBot="1">
      <c r="A39" s="601"/>
      <c r="B39" s="602" t="s">
        <v>560</v>
      </c>
      <c r="C39" s="603"/>
      <c r="D39" s="604"/>
      <c r="E39" s="604"/>
      <c r="F39" s="604"/>
      <c r="G39" s="604"/>
      <c r="H39" s="605"/>
      <c r="I39" s="604"/>
      <c r="J39" s="604"/>
      <c r="K39" s="606">
        <f>SUM(K35:K38)</f>
        <v>80820</v>
      </c>
      <c r="L39" s="606">
        <f>SUM(L35:L38)</f>
        <v>0</v>
      </c>
      <c r="M39" s="606">
        <f>SUM(M35:M38)</f>
        <v>80820</v>
      </c>
    </row>
    <row r="40" spans="1:13" s="574" customFormat="1" ht="12.75" thickBot="1">
      <c r="A40" s="568"/>
      <c r="B40" s="569" t="s">
        <v>56</v>
      </c>
      <c r="C40" s="570"/>
      <c r="D40" s="571"/>
      <c r="E40" s="571"/>
      <c r="F40" s="571"/>
      <c r="G40" s="571"/>
      <c r="H40" s="572"/>
      <c r="I40" s="571"/>
      <c r="J40" s="571"/>
      <c r="K40" s="573">
        <f>SUM(K39)</f>
        <v>80820</v>
      </c>
      <c r="L40" s="573">
        <f>SUM(L39)</f>
        <v>0</v>
      </c>
      <c r="M40" s="573">
        <f>SUM(M39)</f>
        <v>80820</v>
      </c>
    </row>
    <row r="41" spans="1:13" ht="12.75" thickBot="1">
      <c r="A41" s="551" t="s">
        <v>939</v>
      </c>
      <c r="M41" s="540"/>
    </row>
    <row r="42" spans="1:13" ht="14.25" customHeight="1" thickBot="1">
      <c r="A42" s="2047" t="s">
        <v>905</v>
      </c>
      <c r="B42" s="2049" t="s">
        <v>317</v>
      </c>
      <c r="C42" s="2051" t="s">
        <v>1625</v>
      </c>
      <c r="D42" s="549" t="s">
        <v>362</v>
      </c>
      <c r="E42" s="555" t="s">
        <v>363</v>
      </c>
      <c r="F42" s="2045" t="s">
        <v>906</v>
      </c>
      <c r="G42" s="2045" t="s">
        <v>907</v>
      </c>
      <c r="H42" s="2045" t="s">
        <v>359</v>
      </c>
      <c r="I42" s="2045" t="s">
        <v>360</v>
      </c>
      <c r="J42" s="2045" t="s">
        <v>775</v>
      </c>
      <c r="K42" s="2057" t="s">
        <v>366</v>
      </c>
      <c r="L42" s="2058"/>
      <c r="M42" s="540"/>
    </row>
    <row r="43" spans="1:13" ht="14.25" customHeight="1" thickBot="1">
      <c r="A43" s="2048"/>
      <c r="B43" s="2050"/>
      <c r="C43" s="2052"/>
      <c r="D43" s="550" t="s">
        <v>361</v>
      </c>
      <c r="E43" s="556" t="s">
        <v>361</v>
      </c>
      <c r="F43" s="2046"/>
      <c r="G43" s="2046"/>
      <c r="H43" s="2046"/>
      <c r="I43" s="2046"/>
      <c r="J43" s="2046"/>
      <c r="K43" s="557" t="s">
        <v>364</v>
      </c>
      <c r="L43" s="951" t="s">
        <v>365</v>
      </c>
      <c r="M43" s="540"/>
    </row>
    <row r="44" spans="1:13" ht="26.25" customHeight="1">
      <c r="A44" s="562">
        <v>1</v>
      </c>
      <c r="B44" s="609" t="s">
        <v>112</v>
      </c>
      <c r="C44" s="593" t="s">
        <v>1789</v>
      </c>
      <c r="D44" s="404" t="s">
        <v>1627</v>
      </c>
      <c r="E44" s="404" t="s">
        <v>1628</v>
      </c>
      <c r="F44" s="404"/>
      <c r="G44" s="404"/>
      <c r="H44" s="594"/>
      <c r="I44" s="264" t="s">
        <v>741</v>
      </c>
      <c r="J44" s="404"/>
      <c r="K44" s="595">
        <f>'ПРИЛ №3'!G198</f>
        <v>8100</v>
      </c>
      <c r="L44" s="957"/>
      <c r="M44" s="540">
        <f>K44-L44</f>
        <v>8100</v>
      </c>
    </row>
    <row r="45" spans="1:13" ht="17.25" customHeight="1">
      <c r="A45" s="522">
        <v>2</v>
      </c>
      <c r="B45" s="544" t="s">
        <v>88</v>
      </c>
      <c r="C45" s="560" t="s">
        <v>1789</v>
      </c>
      <c r="D45" s="406" t="s">
        <v>1629</v>
      </c>
      <c r="E45" s="406" t="s">
        <v>1628</v>
      </c>
      <c r="F45" s="406"/>
      <c r="G45" s="406"/>
      <c r="H45" s="561"/>
      <c r="I45" s="245" t="s">
        <v>541</v>
      </c>
      <c r="J45" s="406"/>
      <c r="K45" s="580">
        <f>'ПРИЛ №3'!G217</f>
        <v>21600</v>
      </c>
      <c r="L45" s="436"/>
      <c r="M45" s="540">
        <f>K45-L45</f>
        <v>21600</v>
      </c>
    </row>
    <row r="46" spans="1:13" s="567" customFormat="1" ht="14.25" customHeight="1">
      <c r="A46" s="522"/>
      <c r="B46" s="596" t="s">
        <v>1880</v>
      </c>
      <c r="C46" s="582"/>
      <c r="D46" s="581"/>
      <c r="E46" s="581"/>
      <c r="F46" s="581"/>
      <c r="G46" s="581"/>
      <c r="H46" s="583"/>
      <c r="I46" s="581"/>
      <c r="J46" s="581"/>
      <c r="K46" s="584">
        <f>SUM(K44:K45)</f>
        <v>29700</v>
      </c>
      <c r="L46" s="584">
        <f>SUM(L44:L45)</f>
        <v>0</v>
      </c>
      <c r="M46" s="584">
        <f>SUM(M44:M45)</f>
        <v>29700</v>
      </c>
    </row>
    <row r="47" spans="1:13" ht="21" customHeight="1">
      <c r="A47" s="597">
        <v>1</v>
      </c>
      <c r="B47" s="264" t="s">
        <v>1</v>
      </c>
      <c r="C47" s="598" t="s">
        <v>1790</v>
      </c>
      <c r="D47" s="438" t="s">
        <v>1629</v>
      </c>
      <c r="E47" s="438" t="s">
        <v>1628</v>
      </c>
      <c r="F47" s="438"/>
      <c r="G47" s="438"/>
      <c r="H47" s="599"/>
      <c r="I47" s="264" t="s">
        <v>741</v>
      </c>
      <c r="J47" s="438"/>
      <c r="K47" s="600">
        <f>'ПРИЛ №3'!G225</f>
        <v>29536</v>
      </c>
      <c r="L47" s="958"/>
      <c r="M47" s="540">
        <f>K47-L47</f>
        <v>29536</v>
      </c>
    </row>
    <row r="48" spans="1:13" s="567" customFormat="1" ht="12">
      <c r="A48" s="522"/>
      <c r="B48" s="596" t="s">
        <v>333</v>
      </c>
      <c r="C48" s="582"/>
      <c r="D48" s="581"/>
      <c r="E48" s="581"/>
      <c r="F48" s="581"/>
      <c r="G48" s="581"/>
      <c r="H48" s="583"/>
      <c r="I48" s="581"/>
      <c r="J48" s="581"/>
      <c r="K48" s="584">
        <f>SUM(K47)</f>
        <v>29536</v>
      </c>
      <c r="L48" s="584">
        <f>SUM(L47)</f>
        <v>0</v>
      </c>
      <c r="M48" s="584">
        <f>SUM(M47)</f>
        <v>29536</v>
      </c>
    </row>
    <row r="49" spans="1:13" ht="18.75" customHeight="1">
      <c r="A49" s="522">
        <v>1</v>
      </c>
      <c r="B49" s="245" t="s">
        <v>81</v>
      </c>
      <c r="C49" s="560" t="s">
        <v>203</v>
      </c>
      <c r="D49" s="406" t="s">
        <v>1424</v>
      </c>
      <c r="E49" s="406"/>
      <c r="F49" s="406"/>
      <c r="G49" s="406"/>
      <c r="H49" s="561"/>
      <c r="I49" s="245" t="s">
        <v>541</v>
      </c>
      <c r="J49" s="406"/>
      <c r="K49" s="580">
        <f>'ПРИЛ №3'!G254</f>
        <v>7942</v>
      </c>
      <c r="L49" s="436"/>
      <c r="M49" s="540">
        <f>K49-L49</f>
        <v>7942</v>
      </c>
    </row>
    <row r="50" spans="1:13" s="567" customFormat="1" ht="12">
      <c r="A50" s="522"/>
      <c r="B50" s="596" t="s">
        <v>382</v>
      </c>
      <c r="C50" s="582"/>
      <c r="D50" s="581"/>
      <c r="E50" s="581"/>
      <c r="F50" s="581"/>
      <c r="G50" s="581"/>
      <c r="H50" s="583"/>
      <c r="I50" s="581"/>
      <c r="J50" s="581"/>
      <c r="K50" s="584">
        <f>SUM(K49)</f>
        <v>7942</v>
      </c>
      <c r="L50" s="584">
        <f>SUM(L49)</f>
        <v>0</v>
      </c>
      <c r="M50" s="584">
        <f>SUM(M49)</f>
        <v>7942</v>
      </c>
    </row>
    <row r="51" spans="1:13" s="551" customFormat="1" ht="22.5" customHeight="1">
      <c r="A51" s="597">
        <v>2</v>
      </c>
      <c r="B51" s="406" t="s">
        <v>1618</v>
      </c>
      <c r="C51" s="598" t="s">
        <v>205</v>
      </c>
      <c r="D51" s="438" t="s">
        <v>925</v>
      </c>
      <c r="E51" s="438" t="s">
        <v>727</v>
      </c>
      <c r="F51" s="1217"/>
      <c r="G51" s="1217"/>
      <c r="H51" s="1218"/>
      <c r="I51" s="543" t="s">
        <v>541</v>
      </c>
      <c r="J51" s="1217"/>
      <c r="K51" s="600">
        <f>'ПРИЛ №3'!G300</f>
        <v>14280</v>
      </c>
      <c r="L51" s="958"/>
      <c r="M51" s="540">
        <f aca="true" t="shared" si="0" ref="M51:M108">K51-L51</f>
        <v>14280</v>
      </c>
    </row>
    <row r="52" spans="1:13" ht="25.5" customHeight="1">
      <c r="A52" s="597">
        <v>3</v>
      </c>
      <c r="B52" s="406" t="s">
        <v>273</v>
      </c>
      <c r="C52" s="598" t="s">
        <v>205</v>
      </c>
      <c r="D52" s="438" t="s">
        <v>944</v>
      </c>
      <c r="E52" s="438" t="s">
        <v>1361</v>
      </c>
      <c r="F52" s="438"/>
      <c r="G52" s="438"/>
      <c r="H52" s="599"/>
      <c r="I52" s="245" t="s">
        <v>541</v>
      </c>
      <c r="J52" s="438"/>
      <c r="K52" s="600">
        <f>'ПРИЛ №3'!G363</f>
        <v>9760</v>
      </c>
      <c r="L52" s="958"/>
      <c r="M52" s="540">
        <f t="shared" si="0"/>
        <v>9760</v>
      </c>
    </row>
    <row r="53" spans="1:13" ht="18" customHeight="1">
      <c r="A53" s="597">
        <v>4</v>
      </c>
      <c r="B53" s="406" t="str">
        <f>'ПРИЛ №3'!C372</f>
        <v>Конференция по боксу г.Новосибирск</v>
      </c>
      <c r="C53" s="598" t="s">
        <v>205</v>
      </c>
      <c r="D53" s="438" t="s">
        <v>944</v>
      </c>
      <c r="E53" s="438" t="s">
        <v>1212</v>
      </c>
      <c r="F53" s="438"/>
      <c r="G53" s="438"/>
      <c r="H53" s="599"/>
      <c r="I53" s="245" t="s">
        <v>541</v>
      </c>
      <c r="J53" s="438"/>
      <c r="K53" s="600">
        <f>'ПРИЛ №3'!G372</f>
        <v>3600</v>
      </c>
      <c r="L53" s="958"/>
      <c r="M53" s="540">
        <f t="shared" si="0"/>
        <v>3600</v>
      </c>
    </row>
    <row r="54" spans="1:13" ht="15.75" customHeight="1">
      <c r="A54" s="597">
        <v>5</v>
      </c>
      <c r="B54" s="401" t="s">
        <v>1170</v>
      </c>
      <c r="C54" s="598" t="s">
        <v>205</v>
      </c>
      <c r="D54" s="438" t="s">
        <v>1424</v>
      </c>
      <c r="E54" s="438" t="s">
        <v>1212</v>
      </c>
      <c r="F54" s="438"/>
      <c r="G54" s="438"/>
      <c r="H54" s="599"/>
      <c r="I54" s="245" t="s">
        <v>541</v>
      </c>
      <c r="J54" s="438"/>
      <c r="K54" s="600">
        <f>'ПРИЛ №3'!G379</f>
        <v>5820</v>
      </c>
      <c r="L54" s="958"/>
      <c r="M54" s="540">
        <f t="shared" si="0"/>
        <v>5820</v>
      </c>
    </row>
    <row r="55" spans="1:13" s="567" customFormat="1" ht="15.75" customHeight="1" thickBot="1">
      <c r="A55" s="597"/>
      <c r="B55" s="612" t="s">
        <v>560</v>
      </c>
      <c r="C55" s="613"/>
      <c r="D55" s="610"/>
      <c r="E55" s="610"/>
      <c r="F55" s="610"/>
      <c r="G55" s="610"/>
      <c r="H55" s="611"/>
      <c r="I55" s="610"/>
      <c r="J55" s="610"/>
      <c r="K55" s="660">
        <f>SUM(K51:K54)</f>
        <v>33460</v>
      </c>
      <c r="L55" s="660">
        <f>SUM(L51:L54)</f>
        <v>0</v>
      </c>
      <c r="M55" s="660">
        <f>SUM(M51:M54)</f>
        <v>33460</v>
      </c>
    </row>
    <row r="56" spans="1:13" s="574" customFormat="1" ht="14.25" customHeight="1" thickBot="1">
      <c r="A56" s="615"/>
      <c r="B56" s="525" t="s">
        <v>56</v>
      </c>
      <c r="C56" s="616"/>
      <c r="D56" s="617"/>
      <c r="E56" s="617"/>
      <c r="F56" s="617"/>
      <c r="G56" s="617"/>
      <c r="H56" s="618"/>
      <c r="I56" s="617"/>
      <c r="J56" s="617"/>
      <c r="K56" s="619">
        <f>SUM(K46,K50,K48,K55)</f>
        <v>100638</v>
      </c>
      <c r="L56" s="619">
        <f>SUM(L46,L50,L48,L55)</f>
        <v>0</v>
      </c>
      <c r="M56" s="619">
        <f>SUM(M46,M50,M48,M55)</f>
        <v>100638</v>
      </c>
    </row>
    <row r="57" spans="1:13" ht="12.75" thickBot="1">
      <c r="A57" s="551" t="s">
        <v>787</v>
      </c>
      <c r="M57" s="540"/>
    </row>
    <row r="58" spans="1:13" ht="14.25" customHeight="1" thickBot="1">
      <c r="A58" s="2047" t="s">
        <v>905</v>
      </c>
      <c r="B58" s="2049" t="s">
        <v>317</v>
      </c>
      <c r="C58" s="2051" t="s">
        <v>1625</v>
      </c>
      <c r="D58" s="549" t="s">
        <v>362</v>
      </c>
      <c r="E58" s="555" t="s">
        <v>363</v>
      </c>
      <c r="F58" s="2045" t="s">
        <v>906</v>
      </c>
      <c r="G58" s="2045" t="s">
        <v>907</v>
      </c>
      <c r="H58" s="2045" t="s">
        <v>359</v>
      </c>
      <c r="I58" s="2045" t="s">
        <v>360</v>
      </c>
      <c r="J58" s="2045" t="s">
        <v>775</v>
      </c>
      <c r="K58" s="2057" t="s">
        <v>366</v>
      </c>
      <c r="L58" s="2058"/>
      <c r="M58" s="540"/>
    </row>
    <row r="59" spans="1:13" ht="14.25" customHeight="1" thickBot="1">
      <c r="A59" s="2048"/>
      <c r="B59" s="2050"/>
      <c r="C59" s="2052"/>
      <c r="D59" s="550" t="s">
        <v>361</v>
      </c>
      <c r="E59" s="556" t="s">
        <v>361</v>
      </c>
      <c r="F59" s="2046"/>
      <c r="G59" s="2046"/>
      <c r="H59" s="2046"/>
      <c r="I59" s="2046"/>
      <c r="J59" s="2046"/>
      <c r="K59" s="557" t="s">
        <v>364</v>
      </c>
      <c r="L59" s="951" t="s">
        <v>365</v>
      </c>
      <c r="M59" s="540"/>
    </row>
    <row r="60" spans="1:13" ht="23.25" customHeight="1">
      <c r="A60" s="522">
        <v>1</v>
      </c>
      <c r="B60" s="406" t="s">
        <v>113</v>
      </c>
      <c r="C60" s="560" t="s">
        <v>1789</v>
      </c>
      <c r="D60" s="406" t="s">
        <v>923</v>
      </c>
      <c r="E60" s="406" t="s">
        <v>1628</v>
      </c>
      <c r="F60" s="406"/>
      <c r="G60" s="406"/>
      <c r="H60" s="561"/>
      <c r="I60" s="406" t="s">
        <v>541</v>
      </c>
      <c r="J60" s="406"/>
      <c r="K60" s="580">
        <f>'ПРИЛ №3'!G205</f>
        <v>13500</v>
      </c>
      <c r="L60" s="436">
        <v>0</v>
      </c>
      <c r="M60" s="540">
        <f t="shared" si="0"/>
        <v>13500</v>
      </c>
    </row>
    <row r="61" spans="1:13" ht="21" customHeight="1">
      <c r="A61" s="522">
        <v>2</v>
      </c>
      <c r="B61" s="264" t="s">
        <v>746</v>
      </c>
      <c r="C61" s="560" t="s">
        <v>1789</v>
      </c>
      <c r="D61" s="406" t="s">
        <v>332</v>
      </c>
      <c r="E61" s="406" t="s">
        <v>1628</v>
      </c>
      <c r="F61" s="406"/>
      <c r="G61" s="406"/>
      <c r="H61" s="561"/>
      <c r="I61" s="406" t="s">
        <v>541</v>
      </c>
      <c r="J61" s="406"/>
      <c r="K61" s="580">
        <f>'ПРИЛ №3'!G214</f>
        <v>21600</v>
      </c>
      <c r="L61" s="436"/>
      <c r="M61" s="540">
        <f t="shared" si="0"/>
        <v>21600</v>
      </c>
    </row>
    <row r="62" spans="1:13" s="567" customFormat="1" ht="12">
      <c r="A62" s="522"/>
      <c r="B62" s="596" t="s">
        <v>1880</v>
      </c>
      <c r="C62" s="582"/>
      <c r="D62" s="581"/>
      <c r="E62" s="581"/>
      <c r="F62" s="581"/>
      <c r="G62" s="581"/>
      <c r="H62" s="583"/>
      <c r="I62" s="581"/>
      <c r="J62" s="581"/>
      <c r="K62" s="584">
        <f>SUM(K60:K61)</f>
        <v>35100</v>
      </c>
      <c r="L62" s="584">
        <f>SUM(L60:L61)</f>
        <v>0</v>
      </c>
      <c r="M62" s="584">
        <f>SUM(M60:M61)</f>
        <v>35100</v>
      </c>
    </row>
    <row r="63" spans="1:13" ht="24" customHeight="1">
      <c r="A63" s="522">
        <v>1</v>
      </c>
      <c r="B63" s="264" t="s">
        <v>1617</v>
      </c>
      <c r="C63" s="560" t="s">
        <v>1790</v>
      </c>
      <c r="D63" s="406" t="s">
        <v>332</v>
      </c>
      <c r="E63" s="406" t="s">
        <v>1628</v>
      </c>
      <c r="F63" s="406"/>
      <c r="G63" s="406"/>
      <c r="H63" s="561"/>
      <c r="I63" s="264" t="s">
        <v>747</v>
      </c>
      <c r="J63" s="406"/>
      <c r="K63" s="580">
        <f>'ПРИЛ №3'!G224</f>
        <v>34185</v>
      </c>
      <c r="L63" s="436"/>
      <c r="M63" s="540">
        <f t="shared" si="0"/>
        <v>34185</v>
      </c>
    </row>
    <row r="64" spans="1:13" s="567" customFormat="1" ht="15.75" customHeight="1">
      <c r="A64" s="522"/>
      <c r="B64" s="596" t="s">
        <v>333</v>
      </c>
      <c r="C64" s="582"/>
      <c r="D64" s="581"/>
      <c r="E64" s="581"/>
      <c r="F64" s="581"/>
      <c r="G64" s="581"/>
      <c r="H64" s="583"/>
      <c r="I64" s="581"/>
      <c r="J64" s="581"/>
      <c r="K64" s="584">
        <f>SUM(K63)</f>
        <v>34185</v>
      </c>
      <c r="L64" s="584">
        <f>SUM(L63)</f>
        <v>0</v>
      </c>
      <c r="M64" s="584">
        <f>SUM(M63)</f>
        <v>34185</v>
      </c>
    </row>
    <row r="65" spans="1:13" s="624" customFormat="1" ht="18.75" customHeight="1">
      <c r="A65" s="522">
        <v>1</v>
      </c>
      <c r="B65" s="264" t="s">
        <v>1060</v>
      </c>
      <c r="C65" s="620" t="s">
        <v>203</v>
      </c>
      <c r="D65" s="621" t="s">
        <v>1627</v>
      </c>
      <c r="E65" s="621"/>
      <c r="F65" s="621"/>
      <c r="G65" s="621"/>
      <c r="H65" s="622"/>
      <c r="I65" s="621" t="s">
        <v>541</v>
      </c>
      <c r="J65" s="621"/>
      <c r="K65" s="623">
        <f>'ПРИЛ №3'!G230</f>
        <v>8250</v>
      </c>
      <c r="L65" s="960"/>
      <c r="M65" s="540">
        <f t="shared" si="0"/>
        <v>8250</v>
      </c>
    </row>
    <row r="66" spans="1:13" s="567" customFormat="1" ht="12">
      <c r="A66" s="522"/>
      <c r="B66" s="596" t="s">
        <v>382</v>
      </c>
      <c r="C66" s="582"/>
      <c r="D66" s="581"/>
      <c r="E66" s="581"/>
      <c r="F66" s="581"/>
      <c r="G66" s="581"/>
      <c r="H66" s="583"/>
      <c r="I66" s="581"/>
      <c r="J66" s="581"/>
      <c r="K66" s="584">
        <f>SUM(K65)</f>
        <v>8250</v>
      </c>
      <c r="L66" s="584">
        <f>SUM(L65)</f>
        <v>0</v>
      </c>
      <c r="M66" s="584">
        <f>SUM(M65)</f>
        <v>8250</v>
      </c>
    </row>
    <row r="67" spans="1:13" ht="23.25" customHeight="1">
      <c r="A67" s="522">
        <v>1</v>
      </c>
      <c r="B67" s="406" t="s">
        <v>817</v>
      </c>
      <c r="C67" s="560" t="s">
        <v>205</v>
      </c>
      <c r="D67" s="406" t="s">
        <v>1627</v>
      </c>
      <c r="E67" s="406" t="s">
        <v>1291</v>
      </c>
      <c r="F67" s="406"/>
      <c r="G67" s="406"/>
      <c r="H67" s="561"/>
      <c r="I67" s="406" t="s">
        <v>541</v>
      </c>
      <c r="J67" s="406"/>
      <c r="K67" s="580">
        <f>'ПРИЛ №3'!G274</f>
        <v>16880</v>
      </c>
      <c r="L67" s="436"/>
      <c r="M67" s="1219">
        <f t="shared" si="0"/>
        <v>16880</v>
      </c>
    </row>
    <row r="68" spans="1:13" ht="26.25" customHeight="1">
      <c r="A68" s="522">
        <v>2</v>
      </c>
      <c r="B68" s="406" t="s">
        <v>1138</v>
      </c>
      <c r="C68" s="560" t="s">
        <v>205</v>
      </c>
      <c r="D68" s="406" t="s">
        <v>923</v>
      </c>
      <c r="E68" s="406" t="s">
        <v>1027</v>
      </c>
      <c r="F68" s="406"/>
      <c r="G68" s="406"/>
      <c r="H68" s="561"/>
      <c r="I68" s="406" t="s">
        <v>541</v>
      </c>
      <c r="J68" s="406"/>
      <c r="K68" s="580">
        <f>'ПРИЛ №3'!G283</f>
        <v>15480</v>
      </c>
      <c r="L68" s="436"/>
      <c r="M68" s="540">
        <f t="shared" si="0"/>
        <v>15480</v>
      </c>
    </row>
    <row r="69" spans="1:13" ht="19.5" customHeight="1">
      <c r="A69" s="522">
        <v>3</v>
      </c>
      <c r="B69" s="406" t="str">
        <f>'ПРИЛ №3'!C290</f>
        <v>Б/гр.римск. Всероссийский турнир г.Омск</v>
      </c>
      <c r="C69" s="560" t="s">
        <v>205</v>
      </c>
      <c r="D69" s="406" t="s">
        <v>925</v>
      </c>
      <c r="E69" s="406" t="s">
        <v>438</v>
      </c>
      <c r="F69" s="406"/>
      <c r="G69" s="406"/>
      <c r="H69" s="561"/>
      <c r="I69" s="406" t="s">
        <v>541</v>
      </c>
      <c r="J69" s="406"/>
      <c r="K69" s="580">
        <f>'ПРИЛ №3'!G290</f>
        <v>7000</v>
      </c>
      <c r="L69" s="436"/>
      <c r="M69" s="540">
        <f t="shared" si="0"/>
        <v>7000</v>
      </c>
    </row>
    <row r="70" spans="1:13" ht="24.75" customHeight="1">
      <c r="A70" s="522">
        <v>5</v>
      </c>
      <c r="B70" s="406" t="str">
        <f>'ПРИЛ №3'!C296</f>
        <v>Б/гр-римск. Междугор. Турнир г.Новокузнецк</v>
      </c>
      <c r="C70" s="560" t="s">
        <v>205</v>
      </c>
      <c r="D70" s="406" t="s">
        <v>925</v>
      </c>
      <c r="E70" s="406" t="s">
        <v>1207</v>
      </c>
      <c r="F70" s="406"/>
      <c r="G70" s="406"/>
      <c r="H70" s="561"/>
      <c r="I70" s="406" t="s">
        <v>541</v>
      </c>
      <c r="J70" s="406"/>
      <c r="K70" s="580">
        <f>'ПРИЛ №3'!G296</f>
        <v>11000</v>
      </c>
      <c r="L70" s="436"/>
      <c r="M70" s="540">
        <f t="shared" si="0"/>
        <v>11000</v>
      </c>
    </row>
    <row r="71" spans="1:13" ht="23.25" customHeight="1">
      <c r="A71" s="522">
        <v>1</v>
      </c>
      <c r="B71" s="406" t="str">
        <f>'ПРИЛ №3'!C299</f>
        <v>Конференция по борьбе гр.римск. г.Москва</v>
      </c>
      <c r="C71" s="560" t="s">
        <v>205</v>
      </c>
      <c r="D71" s="406" t="s">
        <v>925</v>
      </c>
      <c r="E71" s="406" t="s">
        <v>438</v>
      </c>
      <c r="F71" s="406"/>
      <c r="G71" s="406"/>
      <c r="H71" s="561"/>
      <c r="I71" s="406" t="s">
        <v>541</v>
      </c>
      <c r="J71" s="406"/>
      <c r="K71" s="580">
        <f>'ПРИЛ №3'!G299</f>
        <v>11300</v>
      </c>
      <c r="L71" s="436"/>
      <c r="M71" s="540">
        <f>K71-L71</f>
        <v>11300</v>
      </c>
    </row>
    <row r="72" spans="1:13" ht="26.25" customHeight="1">
      <c r="A72" s="522">
        <v>6</v>
      </c>
      <c r="B72" s="406" t="s">
        <v>910</v>
      </c>
      <c r="C72" s="560" t="s">
        <v>205</v>
      </c>
      <c r="D72" s="406" t="s">
        <v>1651</v>
      </c>
      <c r="E72" s="406" t="s">
        <v>909</v>
      </c>
      <c r="F72" s="406"/>
      <c r="G72" s="406"/>
      <c r="H72" s="561"/>
      <c r="I72" s="406" t="s">
        <v>541</v>
      </c>
      <c r="J72" s="406"/>
      <c r="K72" s="580">
        <f>'ПРИЛ №3'!G308</f>
        <v>28000</v>
      </c>
      <c r="L72" s="436"/>
      <c r="M72" s="540">
        <f t="shared" si="0"/>
        <v>28000</v>
      </c>
    </row>
    <row r="73" spans="1:13" ht="26.25" customHeight="1">
      <c r="A73" s="522">
        <v>7</v>
      </c>
      <c r="B73" s="406" t="s">
        <v>456</v>
      </c>
      <c r="C73" s="560" t="s">
        <v>205</v>
      </c>
      <c r="D73" s="406" t="s">
        <v>1649</v>
      </c>
      <c r="E73" s="406"/>
      <c r="F73" s="406"/>
      <c r="G73" s="406"/>
      <c r="H73" s="561"/>
      <c r="I73" s="406" t="s">
        <v>541</v>
      </c>
      <c r="J73" s="406"/>
      <c r="K73" s="580">
        <f>'ПРИЛ №3'!G325</f>
        <v>17440</v>
      </c>
      <c r="L73" s="436"/>
      <c r="M73" s="540">
        <f t="shared" si="0"/>
        <v>17440</v>
      </c>
    </row>
    <row r="74" spans="1:13" ht="24" customHeight="1">
      <c r="A74" s="522">
        <v>8</v>
      </c>
      <c r="B74" s="406" t="s">
        <v>102</v>
      </c>
      <c r="C74" s="620" t="s">
        <v>205</v>
      </c>
      <c r="D74" s="406" t="s">
        <v>332</v>
      </c>
      <c r="E74" s="406" t="s">
        <v>1212</v>
      </c>
      <c r="F74" s="406"/>
      <c r="G74" s="406"/>
      <c r="H74" s="561"/>
      <c r="I74" s="406" t="s">
        <v>541</v>
      </c>
      <c r="J74" s="406"/>
      <c r="K74" s="580">
        <f>'ПРИЛ №3'!G338</f>
        <v>8800</v>
      </c>
      <c r="L74" s="436"/>
      <c r="M74" s="540">
        <f t="shared" si="0"/>
        <v>8800</v>
      </c>
    </row>
    <row r="75" spans="1:13" ht="27" customHeight="1">
      <c r="A75" s="522">
        <v>9</v>
      </c>
      <c r="B75" s="406" t="s">
        <v>1421</v>
      </c>
      <c r="C75" s="560" t="s">
        <v>205</v>
      </c>
      <c r="D75" s="406" t="s">
        <v>1629</v>
      </c>
      <c r="E75" s="406" t="s">
        <v>1211</v>
      </c>
      <c r="F75" s="406"/>
      <c r="G75" s="406"/>
      <c r="H75" s="561"/>
      <c r="I75" s="406" t="s">
        <v>541</v>
      </c>
      <c r="J75" s="406"/>
      <c r="K75" s="580">
        <f>'ПРИЛ №3'!G348</f>
        <v>12000</v>
      </c>
      <c r="L75" s="436"/>
      <c r="M75" s="540">
        <f t="shared" si="0"/>
        <v>12000</v>
      </c>
    </row>
    <row r="76" spans="1:13" ht="27" customHeight="1">
      <c r="A76" s="522">
        <v>10</v>
      </c>
      <c r="B76" s="406" t="s">
        <v>765</v>
      </c>
      <c r="C76" s="560" t="s">
        <v>205</v>
      </c>
      <c r="D76" s="406" t="s">
        <v>1629</v>
      </c>
      <c r="E76" s="406" t="s">
        <v>1212</v>
      </c>
      <c r="F76" s="406"/>
      <c r="G76" s="406"/>
      <c r="H76" s="561"/>
      <c r="I76" s="406" t="s">
        <v>541</v>
      </c>
      <c r="J76" s="406"/>
      <c r="K76" s="580">
        <f>'ПРИЛ №3'!G350</f>
        <v>5280</v>
      </c>
      <c r="L76" s="436"/>
      <c r="M76" s="540">
        <f t="shared" si="0"/>
        <v>5280</v>
      </c>
    </row>
    <row r="77" spans="1:13" ht="28.5" customHeight="1">
      <c r="A77" s="522">
        <v>11</v>
      </c>
      <c r="B77" s="406" t="s">
        <v>1506</v>
      </c>
      <c r="C77" s="620" t="s">
        <v>205</v>
      </c>
      <c r="D77" s="406" t="s">
        <v>944</v>
      </c>
      <c r="E77" s="406" t="s">
        <v>1207</v>
      </c>
      <c r="F77" s="406"/>
      <c r="G77" s="406"/>
      <c r="H77" s="561"/>
      <c r="I77" s="406" t="s">
        <v>541</v>
      </c>
      <c r="J77" s="406"/>
      <c r="K77" s="580">
        <f>'ПРИЛ №3'!G359</f>
        <v>7400</v>
      </c>
      <c r="L77" s="436"/>
      <c r="M77" s="540">
        <f t="shared" si="0"/>
        <v>7400</v>
      </c>
    </row>
    <row r="78" spans="1:13" ht="26.25" customHeight="1">
      <c r="A78" s="522">
        <v>12</v>
      </c>
      <c r="B78" s="401" t="s">
        <v>1136</v>
      </c>
      <c r="C78" s="560" t="s">
        <v>205</v>
      </c>
      <c r="D78" s="406" t="s">
        <v>1424</v>
      </c>
      <c r="E78" s="406" t="s">
        <v>194</v>
      </c>
      <c r="F78" s="406"/>
      <c r="G78" s="406"/>
      <c r="H78" s="561"/>
      <c r="I78" s="406" t="s">
        <v>541</v>
      </c>
      <c r="J78" s="406"/>
      <c r="K78" s="580">
        <f>'ПРИЛ №3'!G378</f>
        <v>9750</v>
      </c>
      <c r="L78" s="436"/>
      <c r="M78" s="540">
        <f t="shared" si="0"/>
        <v>9750</v>
      </c>
    </row>
    <row r="79" spans="1:13" s="625" customFormat="1" ht="16.5" customHeight="1" thickBot="1">
      <c r="A79" s="601"/>
      <c r="B79" s="602" t="s">
        <v>560</v>
      </c>
      <c r="C79" s="603"/>
      <c r="D79" s="604"/>
      <c r="E79" s="604"/>
      <c r="F79" s="604"/>
      <c r="G79" s="604"/>
      <c r="H79" s="605"/>
      <c r="I79" s="604"/>
      <c r="J79" s="604"/>
      <c r="K79" s="606">
        <f>SUM(K67:K78)</f>
        <v>150330</v>
      </c>
      <c r="L79" s="606">
        <f>SUM(L67:L78)</f>
        <v>0</v>
      </c>
      <c r="M79" s="606">
        <f>SUM(M67:M78)</f>
        <v>150330</v>
      </c>
    </row>
    <row r="80" spans="1:13" s="574" customFormat="1" ht="16.5" customHeight="1" thickBot="1">
      <c r="A80" s="568"/>
      <c r="B80" s="569" t="s">
        <v>56</v>
      </c>
      <c r="C80" s="570"/>
      <c r="D80" s="571"/>
      <c r="E80" s="571"/>
      <c r="F80" s="571"/>
      <c r="G80" s="571"/>
      <c r="H80" s="572"/>
      <c r="I80" s="571"/>
      <c r="J80" s="571"/>
      <c r="K80" s="573">
        <f>SUM(K62,K66,K79,K64)</f>
        <v>227865</v>
      </c>
      <c r="L80" s="573">
        <f>SUM(L62,L66,L79,L64)</f>
        <v>0</v>
      </c>
      <c r="M80" s="573">
        <f>SUM(M62,M66,M79,M64)</f>
        <v>227865</v>
      </c>
    </row>
    <row r="81" spans="1:13" ht="12.75" thickBot="1">
      <c r="A81" s="551" t="s">
        <v>941</v>
      </c>
      <c r="M81" s="540"/>
    </row>
    <row r="82" spans="1:13" ht="14.25" customHeight="1" thickBot="1">
      <c r="A82" s="2047" t="s">
        <v>905</v>
      </c>
      <c r="B82" s="2049" t="s">
        <v>317</v>
      </c>
      <c r="C82" s="2051" t="s">
        <v>1625</v>
      </c>
      <c r="D82" s="549" t="s">
        <v>362</v>
      </c>
      <c r="E82" s="555" t="s">
        <v>363</v>
      </c>
      <c r="F82" s="2045" t="s">
        <v>906</v>
      </c>
      <c r="G82" s="2045" t="s">
        <v>907</v>
      </c>
      <c r="H82" s="2045" t="s">
        <v>359</v>
      </c>
      <c r="I82" s="2045" t="s">
        <v>360</v>
      </c>
      <c r="J82" s="2045" t="s">
        <v>775</v>
      </c>
      <c r="K82" s="2057" t="s">
        <v>366</v>
      </c>
      <c r="L82" s="2058"/>
      <c r="M82" s="540"/>
    </row>
    <row r="83" spans="1:13" ht="15.75" customHeight="1" thickBot="1">
      <c r="A83" s="2048"/>
      <c r="B83" s="2050"/>
      <c r="C83" s="2052"/>
      <c r="D83" s="550" t="s">
        <v>361</v>
      </c>
      <c r="E83" s="556" t="s">
        <v>361</v>
      </c>
      <c r="F83" s="2046"/>
      <c r="G83" s="2046"/>
      <c r="H83" s="2046"/>
      <c r="I83" s="2046"/>
      <c r="J83" s="2046"/>
      <c r="K83" s="557" t="s">
        <v>364</v>
      </c>
      <c r="L83" s="951" t="s">
        <v>365</v>
      </c>
      <c r="M83" s="540"/>
    </row>
    <row r="84" spans="1:13" ht="24.75" customHeight="1">
      <c r="A84" s="522">
        <v>1</v>
      </c>
      <c r="B84" s="406" t="s">
        <v>764</v>
      </c>
      <c r="C84" s="560" t="s">
        <v>1789</v>
      </c>
      <c r="D84" s="406" t="s">
        <v>1627</v>
      </c>
      <c r="E84" s="406" t="s">
        <v>1628</v>
      </c>
      <c r="F84" s="406"/>
      <c r="G84" s="406"/>
      <c r="H84" s="561"/>
      <c r="I84" s="543" t="s">
        <v>541</v>
      </c>
      <c r="J84" s="406"/>
      <c r="K84" s="580">
        <f>'ПРИЛ №3'!G200</f>
        <v>27000</v>
      </c>
      <c r="L84" s="436"/>
      <c r="M84" s="540">
        <f t="shared" si="0"/>
        <v>27000</v>
      </c>
    </row>
    <row r="85" spans="1:13" ht="15.75" customHeight="1">
      <c r="A85" s="522">
        <v>2</v>
      </c>
      <c r="B85" s="543" t="str">
        <f>'3.1 УТС'!B17</f>
        <v>Самбо.УТС к перв.РФ</v>
      </c>
      <c r="C85" s="560" t="s">
        <v>1789</v>
      </c>
      <c r="D85" s="406" t="s">
        <v>923</v>
      </c>
      <c r="E85" s="406" t="s">
        <v>1628</v>
      </c>
      <c r="F85" s="406"/>
      <c r="G85" s="406"/>
      <c r="H85" s="561"/>
      <c r="I85" s="543" t="s">
        <v>541</v>
      </c>
      <c r="J85" s="406"/>
      <c r="K85" s="580">
        <f>'ПРИЛ №3'!G204</f>
        <v>13500</v>
      </c>
      <c r="L85" s="436"/>
      <c r="M85" s="540">
        <f t="shared" si="0"/>
        <v>13500</v>
      </c>
    </row>
    <row r="86" spans="1:13" ht="24.75" customHeight="1">
      <c r="A86" s="522">
        <v>3</v>
      </c>
      <c r="B86" s="264" t="s">
        <v>1779</v>
      </c>
      <c r="C86" s="560" t="s">
        <v>1789</v>
      </c>
      <c r="D86" s="406" t="s">
        <v>925</v>
      </c>
      <c r="E86" s="406" t="s">
        <v>1628</v>
      </c>
      <c r="F86" s="406"/>
      <c r="G86" s="406"/>
      <c r="H86" s="561"/>
      <c r="I86" s="245" t="s">
        <v>541</v>
      </c>
      <c r="J86" s="406"/>
      <c r="K86" s="580">
        <f>'ПРИЛ №3'!G210</f>
        <v>13500</v>
      </c>
      <c r="L86" s="436"/>
      <c r="M86" s="540">
        <f t="shared" si="0"/>
        <v>13500</v>
      </c>
    </row>
    <row r="87" spans="1:13" ht="24">
      <c r="A87" s="522"/>
      <c r="B87" s="264" t="s">
        <v>1781</v>
      </c>
      <c r="C87" s="560" t="s">
        <v>1789</v>
      </c>
      <c r="D87" s="406" t="s">
        <v>332</v>
      </c>
      <c r="E87" s="406"/>
      <c r="F87" s="406"/>
      <c r="G87" s="406"/>
      <c r="H87" s="561"/>
      <c r="I87" s="245"/>
      <c r="J87" s="406"/>
      <c r="K87" s="580">
        <f>'ПРИЛ №3'!G215</f>
        <v>18900</v>
      </c>
      <c r="L87" s="436"/>
      <c r="M87" s="540">
        <f t="shared" si="0"/>
        <v>18900</v>
      </c>
    </row>
    <row r="88" spans="1:13" s="567" customFormat="1" ht="12.75" customHeight="1">
      <c r="A88" s="522"/>
      <c r="B88" s="596" t="s">
        <v>1880</v>
      </c>
      <c r="C88" s="582"/>
      <c r="D88" s="581"/>
      <c r="E88" s="581"/>
      <c r="F88" s="581"/>
      <c r="G88" s="581"/>
      <c r="H88" s="583"/>
      <c r="I88" s="581"/>
      <c r="J88" s="581"/>
      <c r="K88" s="584">
        <f>SUM(K84:K87)</f>
        <v>72900</v>
      </c>
      <c r="L88" s="584">
        <f>SUM(L84:L87)</f>
        <v>0</v>
      </c>
      <c r="M88" s="584">
        <f>SUM(M84:M87)</f>
        <v>72900</v>
      </c>
    </row>
    <row r="89" spans="1:13" ht="25.5" customHeight="1">
      <c r="A89" s="562">
        <v>1</v>
      </c>
      <c r="B89" s="406" t="s">
        <v>989</v>
      </c>
      <c r="C89" s="593" t="s">
        <v>203</v>
      </c>
      <c r="D89" s="404" t="s">
        <v>925</v>
      </c>
      <c r="E89" s="404"/>
      <c r="F89" s="404"/>
      <c r="G89" s="404"/>
      <c r="H89" s="594"/>
      <c r="I89" s="404"/>
      <c r="J89" s="404"/>
      <c r="K89" s="595">
        <f>'ПРИЛ №3'!G241</f>
        <v>15356</v>
      </c>
      <c r="L89" s="957"/>
      <c r="M89" s="540">
        <f t="shared" si="0"/>
        <v>15356</v>
      </c>
    </row>
    <row r="90" spans="1:13" s="567" customFormat="1" ht="12">
      <c r="A90" s="522"/>
      <c r="B90" s="596" t="s">
        <v>382</v>
      </c>
      <c r="C90" s="582"/>
      <c r="D90" s="581"/>
      <c r="E90" s="581"/>
      <c r="F90" s="581"/>
      <c r="G90" s="581"/>
      <c r="H90" s="583"/>
      <c r="I90" s="581"/>
      <c r="J90" s="581"/>
      <c r="K90" s="584">
        <f>SUM(K89)</f>
        <v>15356</v>
      </c>
      <c r="L90" s="584">
        <f>SUM(L89)</f>
        <v>0</v>
      </c>
      <c r="M90" s="584">
        <f>SUM(M89)</f>
        <v>15356</v>
      </c>
    </row>
    <row r="91" spans="1:13" ht="16.5" customHeight="1">
      <c r="A91" s="522">
        <v>1</v>
      </c>
      <c r="B91" s="406" t="s">
        <v>819</v>
      </c>
      <c r="C91" s="560" t="s">
        <v>205</v>
      </c>
      <c r="D91" s="406" t="s">
        <v>923</v>
      </c>
      <c r="E91" s="406" t="s">
        <v>1294</v>
      </c>
      <c r="F91" s="406"/>
      <c r="G91" s="406"/>
      <c r="H91" s="561"/>
      <c r="I91" s="543" t="s">
        <v>541</v>
      </c>
      <c r="J91" s="406"/>
      <c r="K91" s="580">
        <f>'ПРИЛ №3'!G282</f>
        <v>14820</v>
      </c>
      <c r="L91" s="436"/>
      <c r="M91" s="1219">
        <f t="shared" si="0"/>
        <v>14820</v>
      </c>
    </row>
    <row r="92" spans="1:13" ht="21.75" customHeight="1">
      <c r="A92" s="522">
        <v>3</v>
      </c>
      <c r="B92" s="406" t="str">
        <f>'ПРИЛ №3'!C340</f>
        <v>УТС к чемпионату РФ по борьбе дзюдо г.Красноярск</v>
      </c>
      <c r="C92" s="598" t="s">
        <v>205</v>
      </c>
      <c r="D92" s="438" t="s">
        <v>332</v>
      </c>
      <c r="E92" s="438" t="s">
        <v>1211</v>
      </c>
      <c r="F92" s="438"/>
      <c r="G92" s="438"/>
      <c r="H92" s="599"/>
      <c r="I92" s="245" t="s">
        <v>541</v>
      </c>
      <c r="J92" s="438"/>
      <c r="K92" s="600">
        <f>'ПРИЛ №3'!G340</f>
        <v>17000</v>
      </c>
      <c r="L92" s="958"/>
      <c r="M92" s="540">
        <f t="shared" si="0"/>
        <v>17000</v>
      </c>
    </row>
    <row r="93" spans="1:13" ht="21" customHeight="1">
      <c r="A93" s="597">
        <v>4</v>
      </c>
      <c r="B93" s="406" t="str">
        <f>'ПРИЛ №3'!C351</f>
        <v>Всероссиский турнир Пименова по борьбе дзюдо г.Новосибирск</v>
      </c>
      <c r="C93" s="598" t="s">
        <v>205</v>
      </c>
      <c r="D93" s="438" t="s">
        <v>1629</v>
      </c>
      <c r="E93" s="438" t="s">
        <v>1212</v>
      </c>
      <c r="F93" s="438"/>
      <c r="G93" s="438"/>
      <c r="H93" s="599"/>
      <c r="I93" s="245" t="s">
        <v>541</v>
      </c>
      <c r="J93" s="438"/>
      <c r="K93" s="600">
        <f>'ПРИЛ №3'!G351</f>
        <v>10640</v>
      </c>
      <c r="L93" s="958"/>
      <c r="M93" s="540">
        <f t="shared" si="0"/>
        <v>10640</v>
      </c>
    </row>
    <row r="94" spans="1:13" ht="18.75" customHeight="1">
      <c r="A94" s="522">
        <v>5</v>
      </c>
      <c r="B94" s="406" t="str">
        <f>'ПРИЛ №3'!C371</f>
        <v>Конференция по борьбе дзюдо г.Красноярск</v>
      </c>
      <c r="C94" s="598" t="s">
        <v>205</v>
      </c>
      <c r="D94" s="438" t="s">
        <v>944</v>
      </c>
      <c r="E94" s="438" t="s">
        <v>1211</v>
      </c>
      <c r="F94" s="438"/>
      <c r="G94" s="438"/>
      <c r="H94" s="599"/>
      <c r="I94" s="245"/>
      <c r="J94" s="438"/>
      <c r="K94" s="600">
        <f>'ПРИЛ №3'!G371</f>
        <v>7800</v>
      </c>
      <c r="L94" s="958"/>
      <c r="M94" s="540">
        <f t="shared" si="0"/>
        <v>7800</v>
      </c>
    </row>
    <row r="95" spans="1:13" ht="30.75" customHeight="1">
      <c r="A95" s="597">
        <v>6</v>
      </c>
      <c r="B95" s="406" t="s">
        <v>1412</v>
      </c>
      <c r="C95" s="598" t="s">
        <v>205</v>
      </c>
      <c r="D95" s="438" t="s">
        <v>1424</v>
      </c>
      <c r="E95" s="438" t="s">
        <v>1212</v>
      </c>
      <c r="F95" s="438"/>
      <c r="G95" s="438"/>
      <c r="H95" s="599"/>
      <c r="I95" s="245" t="s">
        <v>541</v>
      </c>
      <c r="J95" s="438"/>
      <c r="K95" s="600">
        <f>'ПРИЛ №3'!G377</f>
        <v>4560</v>
      </c>
      <c r="L95" s="958"/>
      <c r="M95" s="540">
        <f t="shared" si="0"/>
        <v>4560</v>
      </c>
    </row>
    <row r="96" spans="1:13" s="567" customFormat="1" ht="15.75" customHeight="1" thickBot="1">
      <c r="A96" s="601"/>
      <c r="B96" s="602" t="s">
        <v>560</v>
      </c>
      <c r="C96" s="603"/>
      <c r="D96" s="604"/>
      <c r="E96" s="604"/>
      <c r="F96" s="604"/>
      <c r="G96" s="604"/>
      <c r="H96" s="605"/>
      <c r="I96" s="604"/>
      <c r="J96" s="604"/>
      <c r="K96" s="606">
        <f>SUM(K91:K95)</f>
        <v>54820</v>
      </c>
      <c r="L96" s="606">
        <f>SUM(L91:L95)</f>
        <v>0</v>
      </c>
      <c r="M96" s="606">
        <f>SUM(M91:M95)</f>
        <v>54820</v>
      </c>
    </row>
    <row r="97" spans="1:13" s="574" customFormat="1" ht="16.5" customHeight="1" thickBot="1">
      <c r="A97" s="568"/>
      <c r="B97" s="569" t="s">
        <v>56</v>
      </c>
      <c r="C97" s="570"/>
      <c r="D97" s="571"/>
      <c r="E97" s="571"/>
      <c r="F97" s="571"/>
      <c r="G97" s="571"/>
      <c r="H97" s="572"/>
      <c r="I97" s="571"/>
      <c r="J97" s="571"/>
      <c r="K97" s="573">
        <f>SUM(K88,K96,K90)</f>
        <v>143076</v>
      </c>
      <c r="L97" s="573">
        <f>SUM(L88,L96,L90)</f>
        <v>0</v>
      </c>
      <c r="M97" s="573">
        <f>SUM(M88,M96,M90)</f>
        <v>143076</v>
      </c>
    </row>
    <row r="98" spans="1:13" ht="12.75" thickBot="1">
      <c r="A98" s="551" t="s">
        <v>323</v>
      </c>
      <c r="M98" s="540"/>
    </row>
    <row r="99" spans="1:13" ht="14.25" customHeight="1" thickBot="1">
      <c r="A99" s="2047" t="s">
        <v>905</v>
      </c>
      <c r="B99" s="2049" t="s">
        <v>317</v>
      </c>
      <c r="C99" s="2051" t="s">
        <v>1625</v>
      </c>
      <c r="D99" s="549" t="s">
        <v>362</v>
      </c>
      <c r="E99" s="555" t="s">
        <v>363</v>
      </c>
      <c r="F99" s="2045" t="s">
        <v>906</v>
      </c>
      <c r="G99" s="2045" t="s">
        <v>907</v>
      </c>
      <c r="H99" s="2045" t="s">
        <v>359</v>
      </c>
      <c r="I99" s="2045" t="s">
        <v>360</v>
      </c>
      <c r="J99" s="2045" t="s">
        <v>775</v>
      </c>
      <c r="K99" s="2057" t="s">
        <v>366</v>
      </c>
      <c r="L99" s="2058"/>
      <c r="M99" s="540"/>
    </row>
    <row r="100" spans="1:13" ht="14.25" customHeight="1" thickBot="1">
      <c r="A100" s="2048"/>
      <c r="B100" s="2050"/>
      <c r="C100" s="2052"/>
      <c r="D100" s="550" t="s">
        <v>361</v>
      </c>
      <c r="E100" s="556" t="s">
        <v>361</v>
      </c>
      <c r="F100" s="2046"/>
      <c r="G100" s="2046"/>
      <c r="H100" s="2046"/>
      <c r="I100" s="2046"/>
      <c r="J100" s="2046"/>
      <c r="K100" s="557" t="s">
        <v>364</v>
      </c>
      <c r="L100" s="951" t="s">
        <v>365</v>
      </c>
      <c r="M100" s="540"/>
    </row>
    <row r="101" spans="1:13" ht="26.25" customHeight="1">
      <c r="A101" s="562">
        <v>2</v>
      </c>
      <c r="B101" s="401" t="s">
        <v>90</v>
      </c>
      <c r="C101" s="560" t="s">
        <v>1789</v>
      </c>
      <c r="D101" s="406" t="s">
        <v>944</v>
      </c>
      <c r="E101" s="406" t="s">
        <v>1628</v>
      </c>
      <c r="F101" s="406"/>
      <c r="G101" s="406"/>
      <c r="H101" s="561"/>
      <c r="I101" s="245" t="s">
        <v>541</v>
      </c>
      <c r="J101" s="406"/>
      <c r="K101" s="580">
        <f>'ПРИЛ №3'!G219</f>
        <v>21600</v>
      </c>
      <c r="L101" s="436"/>
      <c r="M101" s="540">
        <f t="shared" si="0"/>
        <v>21600</v>
      </c>
    </row>
    <row r="102" spans="1:13" s="567" customFormat="1" ht="16.5" customHeight="1">
      <c r="A102" s="522"/>
      <c r="B102" s="596" t="s">
        <v>1880</v>
      </c>
      <c r="C102" s="582"/>
      <c r="D102" s="581"/>
      <c r="E102" s="581"/>
      <c r="F102" s="581"/>
      <c r="G102" s="581"/>
      <c r="H102" s="583"/>
      <c r="I102" s="581"/>
      <c r="J102" s="581"/>
      <c r="K102" s="584">
        <f>SUM(K101:K101)</f>
        <v>21600</v>
      </c>
      <c r="L102" s="584">
        <f>SUM(L101:L101)</f>
        <v>0</v>
      </c>
      <c r="M102" s="584">
        <f>SUM(M101:M101)</f>
        <v>21600</v>
      </c>
    </row>
    <row r="103" spans="1:13" ht="21" customHeight="1">
      <c r="A103" s="522">
        <v>1</v>
      </c>
      <c r="B103" s="264" t="s">
        <v>567</v>
      </c>
      <c r="C103" s="560" t="s">
        <v>1790</v>
      </c>
      <c r="D103" s="406" t="s">
        <v>944</v>
      </c>
      <c r="E103" s="406" t="s">
        <v>1628</v>
      </c>
      <c r="F103" s="406"/>
      <c r="G103" s="406"/>
      <c r="H103" s="561"/>
      <c r="I103" s="406"/>
      <c r="J103" s="406"/>
      <c r="K103" s="580">
        <f>'ПРИЛ №3'!G226</f>
        <v>34938</v>
      </c>
      <c r="L103" s="436"/>
      <c r="M103" s="540">
        <f t="shared" si="0"/>
        <v>34938</v>
      </c>
    </row>
    <row r="104" spans="1:13" s="567" customFormat="1" ht="12">
      <c r="A104" s="522"/>
      <c r="B104" s="596" t="s">
        <v>333</v>
      </c>
      <c r="C104" s="582"/>
      <c r="D104" s="581"/>
      <c r="E104" s="581"/>
      <c r="F104" s="581"/>
      <c r="G104" s="581"/>
      <c r="H104" s="583"/>
      <c r="I104" s="581"/>
      <c r="J104" s="581"/>
      <c r="K104" s="584">
        <f>SUM(K103)</f>
        <v>34938</v>
      </c>
      <c r="L104" s="584">
        <f>SUM(L103)</f>
        <v>0</v>
      </c>
      <c r="M104" s="584">
        <f>SUM(M103)</f>
        <v>34938</v>
      </c>
    </row>
    <row r="105" spans="1:13" ht="21" customHeight="1">
      <c r="A105" s="522">
        <v>1</v>
      </c>
      <c r="B105" s="264" t="s">
        <v>1165</v>
      </c>
      <c r="C105" s="560" t="s">
        <v>203</v>
      </c>
      <c r="D105" s="406" t="s">
        <v>1649</v>
      </c>
      <c r="E105" s="406"/>
      <c r="F105" s="406"/>
      <c r="G105" s="406"/>
      <c r="H105" s="561"/>
      <c r="I105" s="264" t="s">
        <v>541</v>
      </c>
      <c r="J105" s="406"/>
      <c r="K105" s="580">
        <f>'3.3 перв.'!O43</f>
        <v>10452</v>
      </c>
      <c r="L105" s="436"/>
      <c r="M105" s="540">
        <f t="shared" si="0"/>
        <v>10452</v>
      </c>
    </row>
    <row r="106" spans="1:13" s="567" customFormat="1" ht="12">
      <c r="A106" s="522"/>
      <c r="B106" s="596" t="s">
        <v>382</v>
      </c>
      <c r="C106" s="582"/>
      <c r="D106" s="581"/>
      <c r="E106" s="581"/>
      <c r="F106" s="581"/>
      <c r="G106" s="581"/>
      <c r="H106" s="583"/>
      <c r="I106" s="581"/>
      <c r="J106" s="581"/>
      <c r="K106" s="584">
        <f>SUM(K105:K105)</f>
        <v>10452</v>
      </c>
      <c r="L106" s="584">
        <f>SUM(L105:L105)</f>
        <v>0</v>
      </c>
      <c r="M106" s="584">
        <f>SUM(M105:M105)</f>
        <v>10452</v>
      </c>
    </row>
    <row r="107" spans="1:13" ht="21" customHeight="1">
      <c r="A107" s="522">
        <v>2</v>
      </c>
      <c r="B107" s="406" t="str">
        <f>'ПРИЛ №3'!C311</f>
        <v>УТС к первенству Европы по борьбе самбо</v>
      </c>
      <c r="C107" s="560" t="s">
        <v>205</v>
      </c>
      <c r="D107" s="406" t="s">
        <v>1425</v>
      </c>
      <c r="E107" s="406"/>
      <c r="F107" s="406"/>
      <c r="G107" s="406"/>
      <c r="H107" s="561"/>
      <c r="I107" s="264" t="s">
        <v>541</v>
      </c>
      <c r="J107" s="406"/>
      <c r="K107" s="580">
        <f>'ПРИЛ №3'!G311</f>
        <v>40500</v>
      </c>
      <c r="L107" s="436"/>
      <c r="M107" s="540">
        <f t="shared" si="0"/>
        <v>40500</v>
      </c>
    </row>
    <row r="108" spans="1:13" ht="22.5" customHeight="1">
      <c r="A108" s="522">
        <v>3</v>
      </c>
      <c r="B108" s="406" t="s">
        <v>254</v>
      </c>
      <c r="C108" s="560" t="s">
        <v>205</v>
      </c>
      <c r="D108" s="406" t="s">
        <v>944</v>
      </c>
      <c r="E108" s="406" t="s">
        <v>948</v>
      </c>
      <c r="F108" s="406"/>
      <c r="G108" s="406"/>
      <c r="H108" s="561"/>
      <c r="I108" s="264" t="s">
        <v>541</v>
      </c>
      <c r="J108" s="406"/>
      <c r="K108" s="580">
        <f>'ПРИЛ №3'!G360</f>
        <v>5000</v>
      </c>
      <c r="L108" s="436"/>
      <c r="M108" s="540">
        <f t="shared" si="0"/>
        <v>5000</v>
      </c>
    </row>
    <row r="109" spans="1:13" s="567" customFormat="1" ht="12.75" thickBot="1">
      <c r="A109" s="626"/>
      <c r="B109" s="627" t="s">
        <v>560</v>
      </c>
      <c r="C109" s="628"/>
      <c r="D109" s="629"/>
      <c r="E109" s="629"/>
      <c r="F109" s="629"/>
      <c r="G109" s="629"/>
      <c r="H109" s="630"/>
      <c r="I109" s="629"/>
      <c r="J109" s="629"/>
      <c r="K109" s="631">
        <f>SUM(K107:K108)</f>
        <v>45500</v>
      </c>
      <c r="L109" s="631">
        <f>SUM(L107:L108)</f>
        <v>0</v>
      </c>
      <c r="M109" s="631">
        <f>SUM(M107:M108)</f>
        <v>45500</v>
      </c>
    </row>
    <row r="110" spans="1:13" s="574" customFormat="1" ht="12.75" thickBot="1">
      <c r="A110" s="568"/>
      <c r="B110" s="569" t="s">
        <v>56</v>
      </c>
      <c r="C110" s="570"/>
      <c r="D110" s="571"/>
      <c r="E110" s="571"/>
      <c r="F110" s="571"/>
      <c r="G110" s="571"/>
      <c r="H110" s="572"/>
      <c r="I110" s="571"/>
      <c r="J110" s="571"/>
      <c r="K110" s="573">
        <f>SUM(K102,K106,K109,K104)</f>
        <v>112490</v>
      </c>
      <c r="L110" s="573">
        <f>SUM(L102,L106,L109,L104)</f>
        <v>0</v>
      </c>
      <c r="M110" s="573">
        <f>SUM(M102,M106,M109,M104)</f>
        <v>112490</v>
      </c>
    </row>
    <row r="111" spans="1:13" ht="12.75" thickBot="1">
      <c r="A111" s="551" t="s">
        <v>937</v>
      </c>
      <c r="M111" s="540"/>
    </row>
    <row r="112" spans="1:13" ht="14.25" customHeight="1" thickBot="1">
      <c r="A112" s="2047" t="s">
        <v>905</v>
      </c>
      <c r="B112" s="2049" t="s">
        <v>317</v>
      </c>
      <c r="C112" s="2051" t="s">
        <v>1625</v>
      </c>
      <c r="D112" s="549" t="s">
        <v>362</v>
      </c>
      <c r="E112" s="555" t="s">
        <v>363</v>
      </c>
      <c r="F112" s="2045" t="s">
        <v>906</v>
      </c>
      <c r="G112" s="2045" t="s">
        <v>907</v>
      </c>
      <c r="H112" s="2045" t="s">
        <v>359</v>
      </c>
      <c r="I112" s="2045" t="s">
        <v>360</v>
      </c>
      <c r="J112" s="2045" t="s">
        <v>775</v>
      </c>
      <c r="K112" s="2057" t="s">
        <v>366</v>
      </c>
      <c r="L112" s="2058"/>
      <c r="M112" s="540"/>
    </row>
    <row r="113" spans="1:13" ht="20.25" customHeight="1" thickBot="1">
      <c r="A113" s="2048"/>
      <c r="B113" s="2050"/>
      <c r="C113" s="2052"/>
      <c r="D113" s="550" t="s">
        <v>361</v>
      </c>
      <c r="E113" s="556" t="s">
        <v>361</v>
      </c>
      <c r="F113" s="2046"/>
      <c r="G113" s="2046"/>
      <c r="H113" s="2046"/>
      <c r="I113" s="2046"/>
      <c r="J113" s="2046"/>
      <c r="K113" s="557" t="s">
        <v>364</v>
      </c>
      <c r="L113" s="951" t="s">
        <v>365</v>
      </c>
      <c r="M113" s="540"/>
    </row>
    <row r="114" spans="1:13" ht="19.5" customHeight="1">
      <c r="A114" s="562">
        <v>1</v>
      </c>
      <c r="B114" s="245" t="s">
        <v>1393</v>
      </c>
      <c r="C114" s="593" t="s">
        <v>204</v>
      </c>
      <c r="D114" s="404" t="s">
        <v>1651</v>
      </c>
      <c r="E114" s="404" t="s">
        <v>1628</v>
      </c>
      <c r="F114" s="404"/>
      <c r="G114" s="404"/>
      <c r="H114" s="594"/>
      <c r="I114" s="404" t="s">
        <v>541</v>
      </c>
      <c r="J114" s="404"/>
      <c r="K114" s="595">
        <f>'ПРИЛ №3'!G267</f>
        <v>4387</v>
      </c>
      <c r="L114" s="957"/>
      <c r="M114" s="540">
        <f>K114-L114</f>
        <v>4387</v>
      </c>
    </row>
    <row r="115" spans="1:13" s="567" customFormat="1" ht="12">
      <c r="A115" s="522"/>
      <c r="B115" s="596" t="s">
        <v>876</v>
      </c>
      <c r="C115" s="582"/>
      <c r="D115" s="581"/>
      <c r="E115" s="581"/>
      <c r="F115" s="581"/>
      <c r="G115" s="581"/>
      <c r="H115" s="583"/>
      <c r="I115" s="581"/>
      <c r="J115" s="581"/>
      <c r="K115" s="584">
        <f>SUM(K114:K114)</f>
        <v>4387</v>
      </c>
      <c r="L115" s="584">
        <f>SUM(L114:L114)</f>
        <v>0</v>
      </c>
      <c r="M115" s="584">
        <f>SUM(M114:M114)</f>
        <v>4387</v>
      </c>
    </row>
    <row r="116" spans="1:13" s="574" customFormat="1" ht="12.75" thickBot="1">
      <c r="A116" s="568"/>
      <c r="B116" s="569" t="s">
        <v>56</v>
      </c>
      <c r="C116" s="570"/>
      <c r="D116" s="571"/>
      <c r="E116" s="571"/>
      <c r="F116" s="571"/>
      <c r="G116" s="571"/>
      <c r="H116" s="572"/>
      <c r="I116" s="571"/>
      <c r="J116" s="571"/>
      <c r="K116" s="573">
        <f>SUM(K115)</f>
        <v>4387</v>
      </c>
      <c r="L116" s="573">
        <f>SUM(L115)</f>
        <v>0</v>
      </c>
      <c r="M116" s="573">
        <f>SUM(M115)</f>
        <v>4387</v>
      </c>
    </row>
    <row r="117" spans="1:13" s="574" customFormat="1" ht="12">
      <c r="A117" s="575"/>
      <c r="B117" s="524"/>
      <c r="C117" s="576"/>
      <c r="D117" s="577"/>
      <c r="E117" s="577"/>
      <c r="F117" s="577"/>
      <c r="G117" s="577"/>
      <c r="H117" s="578"/>
      <c r="I117" s="577"/>
      <c r="J117" s="577"/>
      <c r="K117" s="579"/>
      <c r="L117" s="577"/>
      <c r="M117" s="540"/>
    </row>
    <row r="118" spans="1:13" ht="12.75" thickBot="1">
      <c r="A118" s="551" t="s">
        <v>321</v>
      </c>
      <c r="B118" s="588"/>
      <c r="C118" s="589"/>
      <c r="D118" s="402"/>
      <c r="E118" s="402"/>
      <c r="F118" s="402"/>
      <c r="G118" s="402"/>
      <c r="H118" s="590"/>
      <c r="I118" s="402"/>
      <c r="J118" s="402"/>
      <c r="K118" s="591"/>
      <c r="L118" s="402"/>
      <c r="M118" s="540"/>
    </row>
    <row r="119" spans="1:13" ht="14.25" customHeight="1" thickBot="1">
      <c r="A119" s="2047" t="s">
        <v>905</v>
      </c>
      <c r="B119" s="2049" t="s">
        <v>317</v>
      </c>
      <c r="C119" s="2051" t="s">
        <v>1625</v>
      </c>
      <c r="D119" s="549" t="s">
        <v>362</v>
      </c>
      <c r="E119" s="555" t="s">
        <v>363</v>
      </c>
      <c r="F119" s="2045" t="s">
        <v>906</v>
      </c>
      <c r="G119" s="2045" t="s">
        <v>907</v>
      </c>
      <c r="H119" s="2045" t="s">
        <v>359</v>
      </c>
      <c r="I119" s="2045" t="s">
        <v>360</v>
      </c>
      <c r="J119" s="2045" t="s">
        <v>775</v>
      </c>
      <c r="K119" s="2057" t="s">
        <v>366</v>
      </c>
      <c r="L119" s="2058"/>
      <c r="M119" s="540"/>
    </row>
    <row r="120" spans="1:13" ht="18" customHeight="1" thickBot="1">
      <c r="A120" s="2048"/>
      <c r="B120" s="2050"/>
      <c r="C120" s="2052"/>
      <c r="D120" s="550" t="s">
        <v>361</v>
      </c>
      <c r="E120" s="556" t="s">
        <v>361</v>
      </c>
      <c r="F120" s="2046"/>
      <c r="G120" s="2046"/>
      <c r="H120" s="2046"/>
      <c r="I120" s="2046"/>
      <c r="J120" s="2046"/>
      <c r="K120" s="557" t="s">
        <v>364</v>
      </c>
      <c r="L120" s="951" t="s">
        <v>365</v>
      </c>
      <c r="M120" s="540"/>
    </row>
    <row r="121" spans="1:13" ht="33" customHeight="1">
      <c r="A121" s="522">
        <v>1</v>
      </c>
      <c r="B121" s="404" t="s">
        <v>1284</v>
      </c>
      <c r="C121" s="560" t="s">
        <v>1377</v>
      </c>
      <c r="D121" s="406" t="s">
        <v>925</v>
      </c>
      <c r="E121" s="406"/>
      <c r="F121" s="406"/>
      <c r="G121" s="406"/>
      <c r="H121" s="561"/>
      <c r="I121" s="264" t="s">
        <v>1514</v>
      </c>
      <c r="J121" s="406"/>
      <c r="K121" s="580">
        <f>'ПРИЛ №3'!G15</f>
        <v>5400</v>
      </c>
      <c r="L121" s="436"/>
      <c r="M121" s="540">
        <f>K121-L121</f>
        <v>5400</v>
      </c>
    </row>
    <row r="122" spans="1:13" s="567" customFormat="1" ht="14.25" customHeight="1">
      <c r="A122" s="562"/>
      <c r="B122" s="592" t="s">
        <v>496</v>
      </c>
      <c r="C122" s="564"/>
      <c r="D122" s="563"/>
      <c r="E122" s="563"/>
      <c r="F122" s="563"/>
      <c r="G122" s="563"/>
      <c r="H122" s="565"/>
      <c r="I122" s="563"/>
      <c r="J122" s="563"/>
      <c r="K122" s="566">
        <f>SUM(K118:K121)</f>
        <v>5400</v>
      </c>
      <c r="L122" s="566">
        <f>SUM(L118:L121)</f>
        <v>0</v>
      </c>
      <c r="M122" s="566">
        <f>SUM(M118:M121)</f>
        <v>5400</v>
      </c>
    </row>
    <row r="123" spans="1:13" s="551" customFormat="1" ht="30" customHeight="1">
      <c r="A123" s="562">
        <v>1</v>
      </c>
      <c r="B123" s="404" t="s">
        <v>1174</v>
      </c>
      <c r="C123" s="593" t="s">
        <v>1378</v>
      </c>
      <c r="D123" s="404" t="s">
        <v>1627</v>
      </c>
      <c r="E123" s="404" t="s">
        <v>1628</v>
      </c>
      <c r="F123" s="404"/>
      <c r="G123" s="404"/>
      <c r="H123" s="594"/>
      <c r="I123" s="406" t="s">
        <v>928</v>
      </c>
      <c r="J123" s="404"/>
      <c r="K123" s="595">
        <f>'ПРИЛ №3'!G21</f>
        <v>9697</v>
      </c>
      <c r="L123" s="957"/>
      <c r="M123" s="540">
        <f>K123-L123</f>
        <v>9697</v>
      </c>
    </row>
    <row r="124" spans="1:13" s="567" customFormat="1" ht="14.25" customHeight="1">
      <c r="A124" s="562"/>
      <c r="B124" s="592" t="s">
        <v>497</v>
      </c>
      <c r="C124" s="564"/>
      <c r="D124" s="563"/>
      <c r="E124" s="563"/>
      <c r="F124" s="563"/>
      <c r="G124" s="563"/>
      <c r="H124" s="565"/>
      <c r="I124" s="563"/>
      <c r="J124" s="563"/>
      <c r="K124" s="566">
        <f>SUM(K123)</f>
        <v>9697</v>
      </c>
      <c r="L124" s="566">
        <f>SUM(L123)</f>
        <v>0</v>
      </c>
      <c r="M124" s="566">
        <f>SUM(M123)</f>
        <v>9697</v>
      </c>
    </row>
    <row r="125" spans="1:13" s="551" customFormat="1" ht="26.25" customHeight="1">
      <c r="A125" s="562">
        <v>1</v>
      </c>
      <c r="B125" s="404" t="str">
        <f>'ПРИЛ №3'!C73</f>
        <v>Волейбол. Товарищеские встречи среди инвалидов</v>
      </c>
      <c r="C125" s="593" t="s">
        <v>1125</v>
      </c>
      <c r="D125" s="406" t="s">
        <v>1627</v>
      </c>
      <c r="E125" s="404" t="s">
        <v>1628</v>
      </c>
      <c r="F125" s="404"/>
      <c r="G125" s="404"/>
      <c r="H125" s="594"/>
      <c r="I125" s="543" t="s">
        <v>469</v>
      </c>
      <c r="J125" s="404"/>
      <c r="K125" s="595">
        <f>'ПРИЛ №3'!G73</f>
        <v>8262</v>
      </c>
      <c r="L125" s="957"/>
      <c r="M125" s="540">
        <f>K125-L125</f>
        <v>8262</v>
      </c>
    </row>
    <row r="126" spans="1:13" ht="33.75" customHeight="1">
      <c r="A126" s="522">
        <v>2</v>
      </c>
      <c r="B126" s="406" t="s">
        <v>104</v>
      </c>
      <c r="C126" s="560" t="s">
        <v>1125</v>
      </c>
      <c r="D126" s="406" t="s">
        <v>924</v>
      </c>
      <c r="E126" s="406"/>
      <c r="F126" s="406"/>
      <c r="G126" s="406"/>
      <c r="H126" s="561"/>
      <c r="I126" s="543" t="s">
        <v>469</v>
      </c>
      <c r="J126" s="406"/>
      <c r="K126" s="580">
        <f>'ПРИЛ №3'!G75</f>
        <v>2765</v>
      </c>
      <c r="L126" s="436"/>
      <c r="M126" s="540">
        <f>K126-L126</f>
        <v>2765</v>
      </c>
    </row>
    <row r="127" spans="1:13" ht="32.25" customHeight="1">
      <c r="A127" s="522">
        <v>3</v>
      </c>
      <c r="B127" s="406" t="s">
        <v>434</v>
      </c>
      <c r="C127" s="560" t="s">
        <v>1125</v>
      </c>
      <c r="D127" s="406" t="s">
        <v>1425</v>
      </c>
      <c r="E127" s="406" t="s">
        <v>1628</v>
      </c>
      <c r="F127" s="406"/>
      <c r="G127" s="406"/>
      <c r="H127" s="561"/>
      <c r="I127" s="543" t="s">
        <v>469</v>
      </c>
      <c r="J127" s="406"/>
      <c r="K127" s="580">
        <f>'ПРИЛ №3'!G79</f>
        <v>4759</v>
      </c>
      <c r="L127" s="436"/>
      <c r="M127" s="540">
        <f>K127-L127</f>
        <v>4759</v>
      </c>
    </row>
    <row r="128" spans="1:13" s="567" customFormat="1" ht="12">
      <c r="A128" s="562"/>
      <c r="B128" s="592" t="s">
        <v>557</v>
      </c>
      <c r="C128" s="564"/>
      <c r="D128" s="406"/>
      <c r="E128" s="563"/>
      <c r="F128" s="563"/>
      <c r="G128" s="563"/>
      <c r="H128" s="565"/>
      <c r="I128" s="563"/>
      <c r="J128" s="563"/>
      <c r="K128" s="566">
        <f>SUM(K125:K127)</f>
        <v>15786</v>
      </c>
      <c r="L128" s="566">
        <f>SUM(L125:L127)</f>
        <v>0</v>
      </c>
      <c r="M128" s="566">
        <f>SUM(M125:M127)</f>
        <v>15786</v>
      </c>
    </row>
    <row r="129" spans="1:13" ht="18.75" customHeight="1">
      <c r="A129" s="562">
        <v>1</v>
      </c>
      <c r="B129" s="543" t="s">
        <v>807</v>
      </c>
      <c r="C129" s="593" t="s">
        <v>1126</v>
      </c>
      <c r="D129" s="404" t="s">
        <v>1627</v>
      </c>
      <c r="E129" s="404" t="s">
        <v>1628</v>
      </c>
      <c r="F129" s="404"/>
      <c r="G129" s="404"/>
      <c r="H129" s="594"/>
      <c r="I129" s="406" t="s">
        <v>541</v>
      </c>
      <c r="J129" s="404"/>
      <c r="K129" s="595">
        <f>'ПРИЛ №3'!G86</f>
        <v>8014</v>
      </c>
      <c r="L129" s="957"/>
      <c r="M129" s="540">
        <f aca="true" t="shared" si="1" ref="M129:M140">K129-L129</f>
        <v>8014</v>
      </c>
    </row>
    <row r="130" spans="1:13" s="551" customFormat="1" ht="25.5" customHeight="1">
      <c r="A130" s="562">
        <v>1</v>
      </c>
      <c r="B130" s="404" t="str">
        <f>'ПРИЛ №3'!C91</f>
        <v>Блиц-турнир по волейболу среди женских команд</v>
      </c>
      <c r="C130" s="593" t="s">
        <v>1126</v>
      </c>
      <c r="D130" s="406" t="s">
        <v>1627</v>
      </c>
      <c r="E130" s="404" t="s">
        <v>1426</v>
      </c>
      <c r="F130" s="404"/>
      <c r="G130" s="404"/>
      <c r="H130" s="594"/>
      <c r="I130" s="406" t="s">
        <v>1052</v>
      </c>
      <c r="J130" s="404"/>
      <c r="K130" s="595">
        <f>'ПРИЛ №3'!G91</f>
        <v>1107</v>
      </c>
      <c r="L130" s="957"/>
      <c r="M130" s="540">
        <f t="shared" si="1"/>
        <v>1107</v>
      </c>
    </row>
    <row r="131" spans="1:13" ht="28.5" customHeight="1">
      <c r="A131" s="522">
        <v>1</v>
      </c>
      <c r="B131" s="406" t="s">
        <v>330</v>
      </c>
      <c r="C131" s="593" t="s">
        <v>1126</v>
      </c>
      <c r="D131" s="406" t="s">
        <v>1627</v>
      </c>
      <c r="E131" s="406" t="s">
        <v>1658</v>
      </c>
      <c r="F131" s="406"/>
      <c r="G131" s="406" t="s">
        <v>318</v>
      </c>
      <c r="H131" s="561"/>
      <c r="I131" s="406" t="s">
        <v>740</v>
      </c>
      <c r="J131" s="406"/>
      <c r="K131" s="580">
        <f>'ПРИЛ №3'!G93</f>
        <v>3963</v>
      </c>
      <c r="L131" s="436"/>
      <c r="M131" s="540">
        <f t="shared" si="1"/>
        <v>3963</v>
      </c>
    </row>
    <row r="132" spans="1:13" ht="30.75" customHeight="1">
      <c r="A132" s="522">
        <v>2</v>
      </c>
      <c r="B132" s="406" t="s">
        <v>1756</v>
      </c>
      <c r="C132" s="560" t="s">
        <v>1126</v>
      </c>
      <c r="D132" s="406" t="s">
        <v>925</v>
      </c>
      <c r="E132" s="406" t="s">
        <v>1628</v>
      </c>
      <c r="F132" s="406"/>
      <c r="G132" s="406"/>
      <c r="H132" s="561"/>
      <c r="I132" s="406" t="s">
        <v>541</v>
      </c>
      <c r="J132" s="406"/>
      <c r="K132" s="580">
        <f>'ПРИЛ №3'!G113</f>
        <v>21602</v>
      </c>
      <c r="L132" s="436"/>
      <c r="M132" s="540">
        <f t="shared" si="1"/>
        <v>21602</v>
      </c>
    </row>
    <row r="133" spans="1:13" ht="33.75" customHeight="1">
      <c r="A133" s="522">
        <v>3</v>
      </c>
      <c r="B133" s="264" t="s">
        <v>1305</v>
      </c>
      <c r="C133" s="593" t="s">
        <v>1126</v>
      </c>
      <c r="D133" s="406" t="s">
        <v>1425</v>
      </c>
      <c r="E133" s="406" t="s">
        <v>1628</v>
      </c>
      <c r="F133" s="406"/>
      <c r="G133" s="406"/>
      <c r="H133" s="561"/>
      <c r="I133" s="406" t="s">
        <v>541</v>
      </c>
      <c r="J133" s="406"/>
      <c r="K133" s="580">
        <f>'ПРИЛ №3'!G148</f>
        <v>24352</v>
      </c>
      <c r="L133" s="436"/>
      <c r="M133" s="540">
        <f t="shared" si="1"/>
        <v>24352</v>
      </c>
    </row>
    <row r="134" spans="1:13" ht="16.5" customHeight="1">
      <c r="A134" s="522">
        <v>4</v>
      </c>
      <c r="B134" s="245" t="s">
        <v>1527</v>
      </c>
      <c r="C134" s="560" t="s">
        <v>1126</v>
      </c>
      <c r="D134" s="406" t="s">
        <v>1629</v>
      </c>
      <c r="E134" s="406" t="s">
        <v>1628</v>
      </c>
      <c r="F134" s="406"/>
      <c r="G134" s="406"/>
      <c r="H134" s="561"/>
      <c r="I134" s="406" t="s">
        <v>541</v>
      </c>
      <c r="J134" s="406"/>
      <c r="K134" s="580">
        <f>'ПРИЛ №3'!G150</f>
        <v>13152</v>
      </c>
      <c r="L134" s="436"/>
      <c r="M134" s="540">
        <f t="shared" si="1"/>
        <v>13152</v>
      </c>
    </row>
    <row r="135" spans="1:13" ht="30.75" customHeight="1">
      <c r="A135" s="522">
        <v>5</v>
      </c>
      <c r="B135" s="264" t="s">
        <v>1232</v>
      </c>
      <c r="C135" s="593" t="s">
        <v>1126</v>
      </c>
      <c r="D135" s="406" t="s">
        <v>1629</v>
      </c>
      <c r="E135" s="406" t="s">
        <v>1628</v>
      </c>
      <c r="F135" s="406"/>
      <c r="G135" s="406"/>
      <c r="H135" s="561"/>
      <c r="I135" s="264" t="s">
        <v>1787</v>
      </c>
      <c r="J135" s="406"/>
      <c r="K135" s="580">
        <f>'ПРИЛ №3'!G151</f>
        <v>25009</v>
      </c>
      <c r="L135" s="436"/>
      <c r="M135" s="540">
        <f t="shared" si="1"/>
        <v>25009</v>
      </c>
    </row>
    <row r="136" spans="1:13" ht="27.75" customHeight="1">
      <c r="A136" s="522">
        <v>6</v>
      </c>
      <c r="B136" s="264" t="s">
        <v>1528</v>
      </c>
      <c r="C136" s="560" t="s">
        <v>1126</v>
      </c>
      <c r="D136" s="406" t="s">
        <v>1629</v>
      </c>
      <c r="E136" s="406" t="s">
        <v>1628</v>
      </c>
      <c r="F136" s="406"/>
      <c r="G136" s="406"/>
      <c r="H136" s="561"/>
      <c r="I136" s="264" t="s">
        <v>1787</v>
      </c>
      <c r="J136" s="406"/>
      <c r="K136" s="580">
        <f>'ПРИЛ №3'!G152</f>
        <v>15526</v>
      </c>
      <c r="L136" s="436"/>
      <c r="M136" s="540">
        <f t="shared" si="1"/>
        <v>15526</v>
      </c>
    </row>
    <row r="137" spans="1:13" ht="21.75" customHeight="1">
      <c r="A137" s="522">
        <v>2</v>
      </c>
      <c r="B137" s="543" t="s">
        <v>535</v>
      </c>
      <c r="C137" s="560" t="s">
        <v>1126</v>
      </c>
      <c r="D137" s="406" t="s">
        <v>1629</v>
      </c>
      <c r="E137" s="406" t="s">
        <v>1426</v>
      </c>
      <c r="F137" s="406"/>
      <c r="G137" s="406"/>
      <c r="H137" s="561"/>
      <c r="I137" s="406" t="s">
        <v>1052</v>
      </c>
      <c r="J137" s="406"/>
      <c r="K137" s="580">
        <f>'ПРИЛ №3'!G160</f>
        <v>2839</v>
      </c>
      <c r="L137" s="436"/>
      <c r="M137" s="540">
        <f t="shared" si="1"/>
        <v>2839</v>
      </c>
    </row>
    <row r="138" spans="1:13" ht="17.25" customHeight="1">
      <c r="A138" s="522">
        <v>1</v>
      </c>
      <c r="B138" s="406" t="s">
        <v>1504</v>
      </c>
      <c r="C138" s="560" t="s">
        <v>1126</v>
      </c>
      <c r="D138" s="406" t="s">
        <v>1629</v>
      </c>
      <c r="E138" s="406" t="s">
        <v>1628</v>
      </c>
      <c r="F138" s="406"/>
      <c r="G138" s="406"/>
      <c r="H138" s="561"/>
      <c r="I138" s="406" t="s">
        <v>541</v>
      </c>
      <c r="J138" s="406"/>
      <c r="K138" s="580">
        <f>'ПРИЛ №3'!G165</f>
        <v>15210</v>
      </c>
      <c r="L138" s="436"/>
      <c r="M138" s="540">
        <f t="shared" si="1"/>
        <v>15210</v>
      </c>
    </row>
    <row r="139" spans="1:13" ht="30.75" customHeight="1">
      <c r="A139" s="522">
        <v>2</v>
      </c>
      <c r="B139" s="406" t="str">
        <f>'ПРИЛ №3'!C169</f>
        <v>Первенство по волейболу среди мужчин 1,2,3 группа в зачет спартакиады</v>
      </c>
      <c r="C139" s="560" t="s">
        <v>1126</v>
      </c>
      <c r="D139" s="406" t="s">
        <v>925</v>
      </c>
      <c r="E139" s="406" t="s">
        <v>1628</v>
      </c>
      <c r="F139" s="406"/>
      <c r="G139" s="406"/>
      <c r="H139" s="561"/>
      <c r="I139" s="406" t="s">
        <v>1155</v>
      </c>
      <c r="J139" s="406"/>
      <c r="K139" s="580">
        <f>'ПРИЛ №3'!G169</f>
        <v>32822</v>
      </c>
      <c r="L139" s="436"/>
      <c r="M139" s="540">
        <f t="shared" si="1"/>
        <v>32822</v>
      </c>
    </row>
    <row r="140" spans="1:13" ht="27.75" customHeight="1">
      <c r="A140" s="522">
        <v>7</v>
      </c>
      <c r="B140" s="264" t="s">
        <v>1907</v>
      </c>
      <c r="C140" s="593" t="s">
        <v>1126</v>
      </c>
      <c r="D140" s="406" t="s">
        <v>944</v>
      </c>
      <c r="E140" s="406" t="s">
        <v>1628</v>
      </c>
      <c r="F140" s="406"/>
      <c r="G140" s="406"/>
      <c r="H140" s="561"/>
      <c r="I140" s="406" t="s">
        <v>541</v>
      </c>
      <c r="J140" s="406"/>
      <c r="K140" s="580">
        <f>'ПРИЛ №3'!G170</f>
        <v>15254</v>
      </c>
      <c r="L140" s="436"/>
      <c r="M140" s="540">
        <f t="shared" si="1"/>
        <v>15254</v>
      </c>
    </row>
    <row r="141" spans="1:13" s="567" customFormat="1" ht="12">
      <c r="A141" s="522"/>
      <c r="B141" s="596" t="s">
        <v>558</v>
      </c>
      <c r="C141" s="582"/>
      <c r="D141" s="581"/>
      <c r="E141" s="581"/>
      <c r="F141" s="581"/>
      <c r="G141" s="581"/>
      <c r="H141" s="583"/>
      <c r="I141" s="581"/>
      <c r="J141" s="581"/>
      <c r="K141" s="584">
        <f>SUM(K129:K140)</f>
        <v>178850</v>
      </c>
      <c r="L141" s="584">
        <f>SUM(L129:L140)</f>
        <v>0</v>
      </c>
      <c r="M141" s="584">
        <f>SUM(M129:M140)</f>
        <v>178850</v>
      </c>
    </row>
    <row r="142" spans="1:13" s="574" customFormat="1" ht="12.75" thickBot="1">
      <c r="A142" s="568"/>
      <c r="B142" s="569" t="s">
        <v>56</v>
      </c>
      <c r="C142" s="570"/>
      <c r="D142" s="571"/>
      <c r="E142" s="571"/>
      <c r="F142" s="571"/>
      <c r="G142" s="571"/>
      <c r="H142" s="572"/>
      <c r="I142" s="571"/>
      <c r="J142" s="571"/>
      <c r="K142" s="573">
        <f>SUM(K122,K141,K128,K124)</f>
        <v>209733</v>
      </c>
      <c r="L142" s="573">
        <f>SUM(L122,L141,L128,L124)</f>
        <v>0</v>
      </c>
      <c r="M142" s="573">
        <f>SUM(M122,M141,M128,M124)</f>
        <v>209733</v>
      </c>
    </row>
    <row r="143" spans="1:13" s="574" customFormat="1" ht="12">
      <c r="A143" s="575"/>
      <c r="B143" s="524"/>
      <c r="C143" s="576"/>
      <c r="D143" s="577"/>
      <c r="E143" s="577"/>
      <c r="F143" s="577"/>
      <c r="G143" s="577"/>
      <c r="H143" s="578"/>
      <c r="I143" s="577"/>
      <c r="J143" s="577"/>
      <c r="K143" s="579"/>
      <c r="L143" s="577"/>
      <c r="M143" s="540"/>
    </row>
    <row r="144" spans="1:13" ht="12.75" thickBot="1">
      <c r="A144" s="551" t="s">
        <v>1487</v>
      </c>
      <c r="M144" s="540"/>
    </row>
    <row r="145" spans="1:13" ht="14.25" customHeight="1" thickBot="1">
      <c r="A145" s="2047" t="s">
        <v>905</v>
      </c>
      <c r="B145" s="2049" t="s">
        <v>317</v>
      </c>
      <c r="C145" s="2051" t="s">
        <v>1625</v>
      </c>
      <c r="D145" s="549" t="s">
        <v>362</v>
      </c>
      <c r="E145" s="555" t="s">
        <v>363</v>
      </c>
      <c r="F145" s="2045" t="s">
        <v>906</v>
      </c>
      <c r="G145" s="2045" t="s">
        <v>907</v>
      </c>
      <c r="H145" s="2045" t="s">
        <v>359</v>
      </c>
      <c r="I145" s="2045" t="s">
        <v>360</v>
      </c>
      <c r="J145" s="2045" t="s">
        <v>775</v>
      </c>
      <c r="K145" s="2057" t="s">
        <v>366</v>
      </c>
      <c r="L145" s="2058"/>
      <c r="M145" s="540"/>
    </row>
    <row r="146" spans="1:13" ht="23.25" customHeight="1" thickBot="1">
      <c r="A146" s="2048"/>
      <c r="B146" s="2050"/>
      <c r="C146" s="2052"/>
      <c r="D146" s="550" t="s">
        <v>361</v>
      </c>
      <c r="E146" s="556" t="s">
        <v>361</v>
      </c>
      <c r="F146" s="2046"/>
      <c r="G146" s="2046"/>
      <c r="H146" s="2046"/>
      <c r="I146" s="2046"/>
      <c r="J146" s="2046"/>
      <c r="K146" s="557" t="s">
        <v>364</v>
      </c>
      <c r="L146" s="951" t="s">
        <v>365</v>
      </c>
      <c r="M146" s="540"/>
    </row>
    <row r="147" spans="1:13" ht="20.25" customHeight="1">
      <c r="A147" s="887">
        <v>1</v>
      </c>
      <c r="B147" s="877" t="str">
        <f>'ПРИЛ №3'!C27</f>
        <v>Гиревой спорт. Первенство школ ЗАТО Северск.</v>
      </c>
      <c r="C147" s="593" t="s">
        <v>1378</v>
      </c>
      <c r="D147" s="594" t="s">
        <v>924</v>
      </c>
      <c r="E147" s="657" t="s">
        <v>1628</v>
      </c>
      <c r="F147" s="594"/>
      <c r="G147" s="594"/>
      <c r="H147" s="594"/>
      <c r="I147" s="545" t="s">
        <v>928</v>
      </c>
      <c r="J147" s="594"/>
      <c r="K147" s="607">
        <f>'ПРИЛ №3'!G27</f>
        <v>1559</v>
      </c>
      <c r="L147" s="955"/>
      <c r="M147" s="540">
        <f>K147-L147</f>
        <v>1559</v>
      </c>
    </row>
    <row r="148" spans="1:13" ht="12">
      <c r="A148" s="608"/>
      <c r="B148" s="596" t="s">
        <v>497</v>
      </c>
      <c r="C148" s="560"/>
      <c r="D148" s="561"/>
      <c r="E148" s="561"/>
      <c r="F148" s="561"/>
      <c r="G148" s="561"/>
      <c r="H148" s="561"/>
      <c r="I148" s="561"/>
      <c r="J148" s="561"/>
      <c r="K148" s="886">
        <f>SUM(K147)</f>
        <v>1559</v>
      </c>
      <c r="L148" s="886">
        <f>SUM(L147)</f>
        <v>0</v>
      </c>
      <c r="M148" s="886">
        <f>SUM(M147)</f>
        <v>1559</v>
      </c>
    </row>
    <row r="149" spans="1:13" ht="28.5" customHeight="1">
      <c r="A149" s="562">
        <v>1</v>
      </c>
      <c r="B149" s="404" t="s">
        <v>1464</v>
      </c>
      <c r="C149" s="593" t="s">
        <v>1126</v>
      </c>
      <c r="D149" s="404" t="s">
        <v>923</v>
      </c>
      <c r="E149" s="404" t="s">
        <v>1426</v>
      </c>
      <c r="F149" s="404"/>
      <c r="G149" s="404"/>
      <c r="H149" s="594"/>
      <c r="I149" s="404" t="s">
        <v>1052</v>
      </c>
      <c r="J149" s="404"/>
      <c r="K149" s="595">
        <f>'ПРИЛ №3'!G97</f>
        <v>2588</v>
      </c>
      <c r="L149" s="957"/>
      <c r="M149" s="540">
        <f>K149-L149</f>
        <v>2588</v>
      </c>
    </row>
    <row r="150" spans="1:13" s="567" customFormat="1" ht="12">
      <c r="A150" s="562"/>
      <c r="B150" s="592" t="s">
        <v>558</v>
      </c>
      <c r="C150" s="564"/>
      <c r="D150" s="563"/>
      <c r="E150" s="563"/>
      <c r="F150" s="563"/>
      <c r="G150" s="563"/>
      <c r="H150" s="565"/>
      <c r="I150" s="563"/>
      <c r="J150" s="563"/>
      <c r="K150" s="566">
        <f>SUM(K149)</f>
        <v>2588</v>
      </c>
      <c r="L150" s="566">
        <f>SUM(L149)</f>
        <v>0</v>
      </c>
      <c r="M150" s="566">
        <f>SUM(M149)</f>
        <v>2588</v>
      </c>
    </row>
    <row r="151" spans="1:13" ht="17.25" customHeight="1">
      <c r="A151" s="522">
        <v>1</v>
      </c>
      <c r="B151" s="245" t="s">
        <v>114</v>
      </c>
      <c r="C151" s="560" t="s">
        <v>1789</v>
      </c>
      <c r="D151" s="406" t="s">
        <v>923</v>
      </c>
      <c r="E151" s="406" t="s">
        <v>1628</v>
      </c>
      <c r="F151" s="406"/>
      <c r="G151" s="406"/>
      <c r="H151" s="561"/>
      <c r="I151" s="406" t="s">
        <v>541</v>
      </c>
      <c r="J151" s="406"/>
      <c r="K151" s="580">
        <f>'ПРИЛ №3'!G206</f>
        <v>5400</v>
      </c>
      <c r="L151" s="436"/>
      <c r="M151" s="540">
        <f>K151-L151</f>
        <v>5400</v>
      </c>
    </row>
    <row r="152" spans="1:13" ht="16.5" customHeight="1">
      <c r="A152" s="522">
        <v>2</v>
      </c>
      <c r="B152" s="544" t="s">
        <v>744</v>
      </c>
      <c r="C152" s="560" t="s">
        <v>1789</v>
      </c>
      <c r="D152" s="406" t="s">
        <v>332</v>
      </c>
      <c r="E152" s="406" t="s">
        <v>1628</v>
      </c>
      <c r="F152" s="406"/>
      <c r="G152" s="406"/>
      <c r="H152" s="561"/>
      <c r="I152" s="406" t="s">
        <v>541</v>
      </c>
      <c r="J152" s="406"/>
      <c r="K152" s="580">
        <f>'ПРИЛ №3'!G216</f>
        <v>5400</v>
      </c>
      <c r="L152" s="436"/>
      <c r="M152" s="540">
        <f aca="true" t="shared" si="2" ref="M152:M158">K152-L152</f>
        <v>5400</v>
      </c>
    </row>
    <row r="153" spans="1:13" s="567" customFormat="1" ht="15" customHeight="1">
      <c r="A153" s="522"/>
      <c r="B153" s="581" t="s">
        <v>1880</v>
      </c>
      <c r="C153" s="582"/>
      <c r="D153" s="581"/>
      <c r="E153" s="581"/>
      <c r="F153" s="581"/>
      <c r="G153" s="581"/>
      <c r="H153" s="583"/>
      <c r="I153" s="581"/>
      <c r="J153" s="581"/>
      <c r="K153" s="584">
        <f>SUM(K151:K152)</f>
        <v>10800</v>
      </c>
      <c r="L153" s="584">
        <f>SUM(L151:L152)</f>
        <v>0</v>
      </c>
      <c r="M153" s="584">
        <f>SUM(M151:M152)</f>
        <v>10800</v>
      </c>
    </row>
    <row r="154" spans="1:13" s="551" customFormat="1" ht="27" customHeight="1">
      <c r="A154" s="522"/>
      <c r="B154" s="406" t="s">
        <v>752</v>
      </c>
      <c r="C154" s="560" t="s">
        <v>204</v>
      </c>
      <c r="D154" s="406" t="s">
        <v>925</v>
      </c>
      <c r="E154" s="890"/>
      <c r="F154" s="890"/>
      <c r="G154" s="890"/>
      <c r="H154" s="608"/>
      <c r="I154" s="406" t="s">
        <v>541</v>
      </c>
      <c r="J154" s="890"/>
      <c r="K154" s="580">
        <f>'ПРИЛ №3'!G264</f>
        <v>7270</v>
      </c>
      <c r="L154" s="1220"/>
      <c r="M154" s="540">
        <f t="shared" si="2"/>
        <v>7270</v>
      </c>
    </row>
    <row r="155" spans="1:13" s="567" customFormat="1" ht="12">
      <c r="A155" s="562"/>
      <c r="B155" s="592" t="s">
        <v>876</v>
      </c>
      <c r="C155" s="564"/>
      <c r="D155" s="563"/>
      <c r="E155" s="563"/>
      <c r="F155" s="563"/>
      <c r="G155" s="563"/>
      <c r="H155" s="565"/>
      <c r="I155" s="563"/>
      <c r="J155" s="563"/>
      <c r="K155" s="566">
        <f>SUM(K154)</f>
        <v>7270</v>
      </c>
      <c r="L155" s="566">
        <f>SUM(L154)</f>
        <v>0</v>
      </c>
      <c r="M155" s="566">
        <f>SUM(M154)</f>
        <v>7270</v>
      </c>
    </row>
    <row r="156" spans="1:13" ht="22.5" customHeight="1">
      <c r="A156" s="522">
        <v>2</v>
      </c>
      <c r="B156" s="406" t="s">
        <v>143</v>
      </c>
      <c r="C156" s="560" t="s">
        <v>205</v>
      </c>
      <c r="D156" s="406" t="s">
        <v>925</v>
      </c>
      <c r="E156" s="406"/>
      <c r="F156" s="406"/>
      <c r="G156" s="406"/>
      <c r="H156" s="561"/>
      <c r="I156" s="245" t="s">
        <v>541</v>
      </c>
      <c r="J156" s="406"/>
      <c r="K156" s="580">
        <f>'ПРИЛ №3'!$G$301</f>
        <v>3000</v>
      </c>
      <c r="L156" s="436"/>
      <c r="M156" s="540">
        <f t="shared" si="2"/>
        <v>3000</v>
      </c>
    </row>
    <row r="157" spans="1:13" ht="32.25" customHeight="1">
      <c r="A157" s="522">
        <v>3</v>
      </c>
      <c r="B157" s="406" t="s">
        <v>1741</v>
      </c>
      <c r="C157" s="560" t="s">
        <v>205</v>
      </c>
      <c r="D157" s="406" t="s">
        <v>1425</v>
      </c>
      <c r="E157" s="406" t="s">
        <v>728</v>
      </c>
      <c r="F157" s="406"/>
      <c r="G157" s="406"/>
      <c r="H157" s="561"/>
      <c r="I157" s="245" t="s">
        <v>541</v>
      </c>
      <c r="J157" s="406"/>
      <c r="K157" s="580">
        <f>'ПРИЛ №3'!G310</f>
        <v>7680</v>
      </c>
      <c r="L157" s="436"/>
      <c r="M157" s="540">
        <f t="shared" si="2"/>
        <v>7680</v>
      </c>
    </row>
    <row r="158" spans="1:13" ht="39.75" customHeight="1">
      <c r="A158" s="597">
        <v>5</v>
      </c>
      <c r="B158" s="401" t="s">
        <v>1896</v>
      </c>
      <c r="C158" s="560" t="s">
        <v>205</v>
      </c>
      <c r="D158" s="438" t="s">
        <v>1424</v>
      </c>
      <c r="E158" s="438"/>
      <c r="F158" s="438"/>
      <c r="G158" s="438"/>
      <c r="H158" s="599"/>
      <c r="I158" s="245" t="s">
        <v>541</v>
      </c>
      <c r="J158" s="438"/>
      <c r="K158" s="600">
        <f>'ПРИЛ №3'!G380</f>
        <v>3600</v>
      </c>
      <c r="L158" s="958"/>
      <c r="M158" s="540">
        <f t="shared" si="2"/>
        <v>3600</v>
      </c>
    </row>
    <row r="159" spans="1:13" s="567" customFormat="1" ht="15.75" customHeight="1" thickBot="1">
      <c r="A159" s="597"/>
      <c r="B159" s="610" t="s">
        <v>560</v>
      </c>
      <c r="C159" s="613"/>
      <c r="D159" s="610"/>
      <c r="E159" s="610"/>
      <c r="F159" s="610"/>
      <c r="G159" s="610"/>
      <c r="H159" s="611"/>
      <c r="I159" s="610"/>
      <c r="J159" s="610"/>
      <c r="K159" s="614">
        <f>SUM(K156:K158)</f>
        <v>14280</v>
      </c>
      <c r="L159" s="614">
        <f>SUM(L156:L158)</f>
        <v>0</v>
      </c>
      <c r="M159" s="614">
        <f>SUM(M156:M158)</f>
        <v>14280</v>
      </c>
    </row>
    <row r="160" spans="1:13" s="574" customFormat="1" ht="12.75" thickBot="1">
      <c r="A160" s="615"/>
      <c r="B160" s="525" t="s">
        <v>56</v>
      </c>
      <c r="C160" s="616"/>
      <c r="D160" s="617"/>
      <c r="E160" s="617"/>
      <c r="F160" s="617"/>
      <c r="G160" s="617"/>
      <c r="H160" s="618"/>
      <c r="I160" s="617"/>
      <c r="J160" s="617"/>
      <c r="K160" s="619">
        <f>SUM(K148,K150,K153,K155,K159)</f>
        <v>36497</v>
      </c>
      <c r="L160" s="619">
        <f>SUM(L148,L150,L153,L155,L159)</f>
        <v>0</v>
      </c>
      <c r="M160" s="619">
        <f>SUM(M148,M150,M153,M155,M159)</f>
        <v>36497</v>
      </c>
    </row>
    <row r="161" spans="1:13" s="574" customFormat="1" ht="12">
      <c r="A161" s="575"/>
      <c r="B161" s="524"/>
      <c r="C161" s="576"/>
      <c r="D161" s="577"/>
      <c r="E161" s="577"/>
      <c r="F161" s="577"/>
      <c r="G161" s="577"/>
      <c r="H161" s="578"/>
      <c r="I161" s="577"/>
      <c r="J161" s="577"/>
      <c r="K161" s="579"/>
      <c r="L161" s="577"/>
      <c r="M161" s="540"/>
    </row>
    <row r="162" spans="1:13" ht="12.75" thickBot="1">
      <c r="A162" s="551" t="s">
        <v>1402</v>
      </c>
      <c r="M162" s="540"/>
    </row>
    <row r="163" spans="1:13" ht="14.25" customHeight="1" thickBot="1">
      <c r="A163" s="2047" t="s">
        <v>905</v>
      </c>
      <c r="B163" s="2049" t="s">
        <v>317</v>
      </c>
      <c r="C163" s="2051" t="s">
        <v>1625</v>
      </c>
      <c r="D163" s="549" t="s">
        <v>362</v>
      </c>
      <c r="E163" s="555" t="s">
        <v>363</v>
      </c>
      <c r="F163" s="2045" t="s">
        <v>906</v>
      </c>
      <c r="G163" s="2045" t="s">
        <v>907</v>
      </c>
      <c r="H163" s="2045" t="s">
        <v>359</v>
      </c>
      <c r="I163" s="2045" t="s">
        <v>360</v>
      </c>
      <c r="J163" s="2045" t="s">
        <v>775</v>
      </c>
      <c r="K163" s="2057" t="s">
        <v>366</v>
      </c>
      <c r="L163" s="2058"/>
      <c r="M163" s="540"/>
    </row>
    <row r="164" spans="1:13" ht="32.25" customHeight="1">
      <c r="A164" s="2054"/>
      <c r="B164" s="2055"/>
      <c r="C164" s="2056"/>
      <c r="D164" s="883" t="s">
        <v>361</v>
      </c>
      <c r="E164" s="590" t="s">
        <v>361</v>
      </c>
      <c r="F164" s="2053"/>
      <c r="G164" s="2053"/>
      <c r="H164" s="2053"/>
      <c r="I164" s="2053"/>
      <c r="J164" s="2053"/>
      <c r="K164" s="884" t="s">
        <v>364</v>
      </c>
      <c r="L164" s="963" t="s">
        <v>365</v>
      </c>
      <c r="M164" s="540"/>
    </row>
    <row r="165" spans="1:13" ht="32.25" customHeight="1">
      <c r="A165" s="608">
        <v>1</v>
      </c>
      <c r="B165" s="537" t="s">
        <v>1639</v>
      </c>
      <c r="C165" s="560" t="s">
        <v>1378</v>
      </c>
      <c r="D165" s="561" t="s">
        <v>332</v>
      </c>
      <c r="E165" s="870" t="s">
        <v>1628</v>
      </c>
      <c r="F165" s="870"/>
      <c r="G165" s="870"/>
      <c r="H165" s="870"/>
      <c r="I165" s="404" t="s">
        <v>928</v>
      </c>
      <c r="J165" s="561"/>
      <c r="K165" s="538">
        <f>'ПРИЛ №3'!G34</f>
        <v>2156</v>
      </c>
      <c r="L165" s="956"/>
      <c r="M165" s="540">
        <f aca="true" t="shared" si="3" ref="M165:M170">K165-L165</f>
        <v>2156</v>
      </c>
    </row>
    <row r="166" spans="1:13" ht="12">
      <c r="A166" s="608"/>
      <c r="B166" s="885"/>
      <c r="C166" s="560"/>
      <c r="D166" s="561"/>
      <c r="E166" s="561"/>
      <c r="F166" s="561"/>
      <c r="G166" s="561"/>
      <c r="H166" s="561"/>
      <c r="I166" s="561"/>
      <c r="J166" s="561"/>
      <c r="K166" s="886">
        <f>SUM(K165)</f>
        <v>2156</v>
      </c>
      <c r="L166" s="886">
        <f>SUM(L165)</f>
        <v>0</v>
      </c>
      <c r="M166" s="886">
        <f>SUM(M165)</f>
        <v>2156</v>
      </c>
    </row>
    <row r="167" spans="1:13" ht="18" customHeight="1">
      <c r="A167" s="562">
        <v>1</v>
      </c>
      <c r="B167" s="240" t="s">
        <v>79</v>
      </c>
      <c r="C167" s="593" t="s">
        <v>203</v>
      </c>
      <c r="D167" s="404" t="s">
        <v>1424</v>
      </c>
      <c r="E167" s="404" t="s">
        <v>1628</v>
      </c>
      <c r="F167" s="404"/>
      <c r="G167" s="404"/>
      <c r="H167" s="594"/>
      <c r="I167" s="404" t="s">
        <v>541</v>
      </c>
      <c r="J167" s="404"/>
      <c r="K167" s="595">
        <f>'ПРИЛ №3'!G255</f>
        <v>8385</v>
      </c>
      <c r="L167" s="957"/>
      <c r="M167" s="540">
        <f t="shared" si="3"/>
        <v>8385</v>
      </c>
    </row>
    <row r="168" spans="1:13" s="567" customFormat="1" ht="15" customHeight="1">
      <c r="A168" s="522"/>
      <c r="B168" s="581" t="s">
        <v>382</v>
      </c>
      <c r="C168" s="582"/>
      <c r="D168" s="581"/>
      <c r="E168" s="581"/>
      <c r="F168" s="581"/>
      <c r="G168" s="581"/>
      <c r="H168" s="583"/>
      <c r="I168" s="581"/>
      <c r="J168" s="581"/>
      <c r="K168" s="584">
        <f>SUM(K167:K167)</f>
        <v>8385</v>
      </c>
      <c r="L168" s="584">
        <f>SUM(L167:L167)</f>
        <v>0</v>
      </c>
      <c r="M168" s="584">
        <f>SUM(M167:M167)</f>
        <v>8385</v>
      </c>
    </row>
    <row r="169" spans="1:13" ht="29.25" customHeight="1">
      <c r="A169" s="597">
        <v>2</v>
      </c>
      <c r="B169" s="406" t="s">
        <v>758</v>
      </c>
      <c r="C169" s="598" t="s">
        <v>205</v>
      </c>
      <c r="D169" s="438" t="s">
        <v>1649</v>
      </c>
      <c r="E169" s="438" t="s">
        <v>949</v>
      </c>
      <c r="F169" s="438"/>
      <c r="G169" s="438"/>
      <c r="H169" s="599"/>
      <c r="I169" s="404" t="s">
        <v>541</v>
      </c>
      <c r="J169" s="438"/>
      <c r="K169" s="600">
        <f>'ПРИЛ №3'!G322</f>
        <v>22600</v>
      </c>
      <c r="L169" s="958"/>
      <c r="M169" s="540">
        <f t="shared" si="3"/>
        <v>22600</v>
      </c>
    </row>
    <row r="170" spans="1:13" ht="36" customHeight="1">
      <c r="A170" s="597">
        <v>3</v>
      </c>
      <c r="B170" s="401" t="s">
        <v>1173</v>
      </c>
      <c r="C170" s="598" t="s">
        <v>205</v>
      </c>
      <c r="D170" s="438" t="s">
        <v>332</v>
      </c>
      <c r="E170" s="438" t="s">
        <v>1239</v>
      </c>
      <c r="F170" s="438"/>
      <c r="G170" s="438"/>
      <c r="H170" s="599"/>
      <c r="I170" s="404" t="s">
        <v>541</v>
      </c>
      <c r="J170" s="438"/>
      <c r="K170" s="600">
        <f>'ПРИЛ №3'!G341</f>
        <v>23680</v>
      </c>
      <c r="L170" s="958"/>
      <c r="M170" s="540">
        <f t="shared" si="3"/>
        <v>23680</v>
      </c>
    </row>
    <row r="171" spans="1:13" s="567" customFormat="1" ht="16.5" customHeight="1" thickBot="1">
      <c r="A171" s="601"/>
      <c r="B171" s="602" t="s">
        <v>560</v>
      </c>
      <c r="C171" s="603"/>
      <c r="D171" s="604"/>
      <c r="E171" s="604"/>
      <c r="F171" s="604"/>
      <c r="G171" s="604"/>
      <c r="H171" s="605"/>
      <c r="I171" s="604"/>
      <c r="J171" s="604"/>
      <c r="K171" s="606">
        <f>SUM(K169:K170)</f>
        <v>46280</v>
      </c>
      <c r="L171" s="606">
        <f>SUM(L169:L170)</f>
        <v>0</v>
      </c>
      <c r="M171" s="606">
        <f>SUM(M169:M170)</f>
        <v>46280</v>
      </c>
    </row>
    <row r="172" spans="1:13" s="574" customFormat="1" ht="12.75" thickBot="1">
      <c r="A172" s="568"/>
      <c r="B172" s="569" t="s">
        <v>56</v>
      </c>
      <c r="C172" s="570"/>
      <c r="D172" s="571"/>
      <c r="E172" s="571"/>
      <c r="F172" s="571"/>
      <c r="G172" s="571"/>
      <c r="H172" s="572"/>
      <c r="I172" s="571"/>
      <c r="J172" s="571"/>
      <c r="K172" s="573">
        <f>SUM(K171,K168,K166)</f>
        <v>56821</v>
      </c>
      <c r="L172" s="573">
        <f>SUM(L171,L168,L166)</f>
        <v>0</v>
      </c>
      <c r="M172" s="573">
        <f>SUM(M171,M168,M166)</f>
        <v>56821</v>
      </c>
    </row>
    <row r="173" spans="1:13" s="574" customFormat="1" ht="12">
      <c r="A173" s="575"/>
      <c r="B173" s="524"/>
      <c r="C173" s="576"/>
      <c r="D173" s="577"/>
      <c r="E173" s="577"/>
      <c r="F173" s="577"/>
      <c r="G173" s="577"/>
      <c r="H173" s="578"/>
      <c r="I173" s="577"/>
      <c r="J173" s="577"/>
      <c r="K173" s="579"/>
      <c r="L173" s="579"/>
      <c r="M173" s="540"/>
    </row>
    <row r="174" spans="1:13" ht="12.75" thickBot="1">
      <c r="A174" s="2061" t="s">
        <v>1250</v>
      </c>
      <c r="B174" s="2061"/>
      <c r="M174" s="540"/>
    </row>
    <row r="175" spans="1:13" ht="14.25" customHeight="1" thickBot="1">
      <c r="A175" s="2047" t="s">
        <v>905</v>
      </c>
      <c r="B175" s="2049" t="s">
        <v>317</v>
      </c>
      <c r="C175" s="2051" t="s">
        <v>1625</v>
      </c>
      <c r="D175" s="549" t="s">
        <v>362</v>
      </c>
      <c r="E175" s="555" t="s">
        <v>363</v>
      </c>
      <c r="F175" s="2045" t="s">
        <v>906</v>
      </c>
      <c r="G175" s="2045" t="s">
        <v>907</v>
      </c>
      <c r="H175" s="2045" t="s">
        <v>359</v>
      </c>
      <c r="I175" s="2045" t="s">
        <v>360</v>
      </c>
      <c r="J175" s="2045" t="s">
        <v>775</v>
      </c>
      <c r="K175" s="2057" t="s">
        <v>366</v>
      </c>
      <c r="L175" s="2058"/>
      <c r="M175" s="540"/>
    </row>
    <row r="176" spans="1:13" ht="27.75" customHeight="1" thickBot="1">
      <c r="A176" s="2048"/>
      <c r="B176" s="2050"/>
      <c r="C176" s="2052"/>
      <c r="D176" s="550" t="s">
        <v>361</v>
      </c>
      <c r="E176" s="556" t="s">
        <v>361</v>
      </c>
      <c r="F176" s="2046"/>
      <c r="G176" s="2046"/>
      <c r="H176" s="2046"/>
      <c r="I176" s="2046"/>
      <c r="J176" s="2046"/>
      <c r="K176" s="557" t="s">
        <v>364</v>
      </c>
      <c r="L176" s="951" t="s">
        <v>365</v>
      </c>
      <c r="M176" s="540"/>
    </row>
    <row r="177" spans="1:13" ht="18" customHeight="1">
      <c r="A177" s="661">
        <v>1</v>
      </c>
      <c r="B177" s="539" t="s">
        <v>309</v>
      </c>
      <c r="C177" s="558" t="s">
        <v>1187</v>
      </c>
      <c r="D177" s="523" t="s">
        <v>1627</v>
      </c>
      <c r="E177" s="523"/>
      <c r="F177" s="523"/>
      <c r="G177" s="523"/>
      <c r="H177" s="559"/>
      <c r="I177" s="523"/>
      <c r="J177" s="523"/>
      <c r="K177" s="632">
        <f>'ПРИЛ №3'!G51</f>
        <v>900</v>
      </c>
      <c r="L177" s="961"/>
      <c r="M177" s="540">
        <f>K177-L177</f>
        <v>900</v>
      </c>
    </row>
    <row r="178" spans="1:13" ht="21" customHeight="1">
      <c r="A178" s="522">
        <v>2</v>
      </c>
      <c r="B178" s="406" t="s">
        <v>1616</v>
      </c>
      <c r="C178" s="560" t="s">
        <v>1187</v>
      </c>
      <c r="D178" s="406" t="s">
        <v>923</v>
      </c>
      <c r="E178" s="406"/>
      <c r="F178" s="406"/>
      <c r="G178" s="406" t="s">
        <v>318</v>
      </c>
      <c r="H178" s="561"/>
      <c r="I178" s="406"/>
      <c r="J178" s="406"/>
      <c r="K178" s="580">
        <f>'ПРИЛ №3'!G53</f>
        <v>6317</v>
      </c>
      <c r="L178" s="436"/>
      <c r="M178" s="540">
        <f>K178-L178</f>
        <v>6317</v>
      </c>
    </row>
    <row r="179" spans="1:13" ht="19.5" customHeight="1">
      <c r="A179" s="522">
        <v>3</v>
      </c>
      <c r="B179" s="539" t="s">
        <v>1761</v>
      </c>
      <c r="C179" s="560" t="s">
        <v>1187</v>
      </c>
      <c r="D179" s="406" t="s">
        <v>923</v>
      </c>
      <c r="E179" s="406" t="s">
        <v>1628</v>
      </c>
      <c r="F179" s="406"/>
      <c r="G179" s="406"/>
      <c r="H179" s="561"/>
      <c r="I179" s="1223" t="s">
        <v>1406</v>
      </c>
      <c r="J179" s="406"/>
      <c r="K179" s="540">
        <f>'1.5 гор.спар.допр'!M10</f>
        <v>13508</v>
      </c>
      <c r="L179" s="436"/>
      <c r="M179" s="540">
        <f>K179-L179</f>
        <v>13508</v>
      </c>
    </row>
    <row r="180" spans="1:13" ht="15" customHeight="1">
      <c r="A180" s="522">
        <v>4</v>
      </c>
      <c r="B180" s="539" t="s">
        <v>1762</v>
      </c>
      <c r="C180" s="560" t="s">
        <v>1187</v>
      </c>
      <c r="D180" s="406" t="s">
        <v>1425</v>
      </c>
      <c r="E180" s="406" t="s">
        <v>1628</v>
      </c>
      <c r="F180" s="406"/>
      <c r="G180" s="406"/>
      <c r="H180" s="561"/>
      <c r="I180" s="1223" t="s">
        <v>1406</v>
      </c>
      <c r="J180" s="406"/>
      <c r="K180" s="540">
        <f>'1.5 гор.спар.допр'!M16</f>
        <v>15145</v>
      </c>
      <c r="L180" s="436"/>
      <c r="M180" s="540">
        <f>K180-L180</f>
        <v>15145</v>
      </c>
    </row>
    <row r="181" spans="1:13" ht="15" customHeight="1">
      <c r="A181" s="522">
        <v>5</v>
      </c>
      <c r="B181" s="539" t="s">
        <v>1063</v>
      </c>
      <c r="C181" s="560" t="s">
        <v>1187</v>
      </c>
      <c r="D181" s="406" t="s">
        <v>1425</v>
      </c>
      <c r="E181" s="406" t="s">
        <v>1628</v>
      </c>
      <c r="F181" s="406"/>
      <c r="G181" s="406"/>
      <c r="H181" s="561"/>
      <c r="I181" s="1224" t="s">
        <v>541</v>
      </c>
      <c r="J181" s="406"/>
      <c r="K181" s="540">
        <f>'1.5 гор.спар.допр'!M19</f>
        <v>12977</v>
      </c>
      <c r="L181" s="436"/>
      <c r="M181" s="540">
        <f>K181-L181</f>
        <v>12977</v>
      </c>
    </row>
    <row r="182" spans="1:13" s="567" customFormat="1" ht="12">
      <c r="A182" s="562"/>
      <c r="B182" s="592" t="s">
        <v>1416</v>
      </c>
      <c r="C182" s="564"/>
      <c r="D182" s="563"/>
      <c r="E182" s="563"/>
      <c r="F182" s="563"/>
      <c r="G182" s="563"/>
      <c r="H182" s="565"/>
      <c r="I182" s="563"/>
      <c r="J182" s="563"/>
      <c r="K182" s="566">
        <f>SUM(K177:K181)</f>
        <v>48847</v>
      </c>
      <c r="L182" s="566">
        <f>SUM(L177:L181)</f>
        <v>0</v>
      </c>
      <c r="M182" s="566">
        <f>SUM(M177:M181)</f>
        <v>48847</v>
      </c>
    </row>
    <row r="183" spans="1:13" ht="30.75" customHeight="1">
      <c r="A183" s="522">
        <v>1</v>
      </c>
      <c r="B183" s="406" t="s">
        <v>436</v>
      </c>
      <c r="C183" s="560" t="s">
        <v>1188</v>
      </c>
      <c r="D183" s="406" t="s">
        <v>924</v>
      </c>
      <c r="E183" s="406" t="s">
        <v>452</v>
      </c>
      <c r="F183" s="406"/>
      <c r="G183" s="406"/>
      <c r="H183" s="561"/>
      <c r="I183" s="406" t="s">
        <v>930</v>
      </c>
      <c r="J183" s="406"/>
      <c r="K183" s="540">
        <f>'ПРИЛ №3'!G57</f>
        <v>3580</v>
      </c>
      <c r="L183" s="436"/>
      <c r="M183" s="540">
        <f aca="true" t="shared" si="4" ref="M183:M190">K183-L183</f>
        <v>3580</v>
      </c>
    </row>
    <row r="184" spans="1:13" ht="32.25" customHeight="1">
      <c r="A184" s="522">
        <v>2</v>
      </c>
      <c r="B184" s="264" t="s">
        <v>1637</v>
      </c>
      <c r="C184" s="560" t="s">
        <v>1188</v>
      </c>
      <c r="D184" s="405" t="s">
        <v>1649</v>
      </c>
      <c r="E184" s="406" t="s">
        <v>1912</v>
      </c>
      <c r="G184" s="406"/>
      <c r="I184" s="534" t="s">
        <v>931</v>
      </c>
      <c r="K184" s="533">
        <f>'ПРИЛ №3'!G58</f>
        <v>40320</v>
      </c>
      <c r="L184" s="954"/>
      <c r="M184" s="540">
        <f t="shared" si="4"/>
        <v>40320</v>
      </c>
    </row>
    <row r="185" spans="1:13" ht="28.5" customHeight="1">
      <c r="A185" s="522">
        <v>3</v>
      </c>
      <c r="B185" s="264" t="s">
        <v>1638</v>
      </c>
      <c r="C185" s="560" t="s">
        <v>1188</v>
      </c>
      <c r="D185" s="406" t="s">
        <v>332</v>
      </c>
      <c r="E185" s="405" t="s">
        <v>453</v>
      </c>
      <c r="F185" s="406"/>
      <c r="G185" s="406"/>
      <c r="H185" s="561"/>
      <c r="I185" s="264" t="s">
        <v>930</v>
      </c>
      <c r="J185" s="406"/>
      <c r="K185" s="533">
        <f>'ПРИЛ №3'!G59</f>
        <v>7320</v>
      </c>
      <c r="L185" s="436"/>
      <c r="M185" s="540">
        <f t="shared" si="4"/>
        <v>7320</v>
      </c>
    </row>
    <row r="186" spans="1:13" ht="27.75" customHeight="1">
      <c r="A186" s="522">
        <v>4</v>
      </c>
      <c r="B186" s="264" t="str">
        <f>'ПРИЛ №3'!C60</f>
        <v>Отраслевые ВСИ "Енисей-2006" среди допризывной молодежи в г. Зеленогорске</v>
      </c>
      <c r="C186" s="560" t="s">
        <v>1188</v>
      </c>
      <c r="D186" s="406" t="s">
        <v>332</v>
      </c>
      <c r="E186" s="406" t="s">
        <v>727</v>
      </c>
      <c r="F186" s="406"/>
      <c r="G186" s="406"/>
      <c r="H186" s="561"/>
      <c r="I186" s="534" t="s">
        <v>931</v>
      </c>
      <c r="J186" s="406"/>
      <c r="K186" s="533">
        <f>'ПРИЛ №3'!G60</f>
        <v>12800</v>
      </c>
      <c r="L186" s="436"/>
      <c r="M186" s="540">
        <f t="shared" si="4"/>
        <v>12800</v>
      </c>
    </row>
    <row r="187" spans="1:13" s="567" customFormat="1" ht="13.5" customHeight="1">
      <c r="A187" s="562"/>
      <c r="B187" s="1531" t="s">
        <v>1417</v>
      </c>
      <c r="C187" s="564"/>
      <c r="D187" s="563"/>
      <c r="E187" s="563"/>
      <c r="F187" s="563"/>
      <c r="G187" s="563"/>
      <c r="H187" s="565"/>
      <c r="I187" s="563"/>
      <c r="J187" s="563"/>
      <c r="K187" s="566">
        <f>SUM(K183:K186)</f>
        <v>64020</v>
      </c>
      <c r="L187" s="566">
        <f>SUM(L183:L186)</f>
        <v>0</v>
      </c>
      <c r="M187" s="566">
        <f>SUM(M183:M186)</f>
        <v>64020</v>
      </c>
    </row>
    <row r="188" spans="1:13" s="567" customFormat="1" ht="13.5" customHeight="1">
      <c r="A188" s="522">
        <v>1</v>
      </c>
      <c r="B188" s="543" t="s">
        <v>155</v>
      </c>
      <c r="C188" s="560" t="s">
        <v>205</v>
      </c>
      <c r="D188" s="406" t="s">
        <v>1425</v>
      </c>
      <c r="E188" s="406" t="s">
        <v>948</v>
      </c>
      <c r="F188" s="581"/>
      <c r="G188" s="581"/>
      <c r="H188" s="583"/>
      <c r="I188" s="406" t="s">
        <v>541</v>
      </c>
      <c r="J188" s="581"/>
      <c r="K188" s="580">
        <f>'ПРИЛ №3'!G309</f>
        <v>3000</v>
      </c>
      <c r="L188" s="953"/>
      <c r="M188" s="540">
        <f t="shared" si="4"/>
        <v>3000</v>
      </c>
    </row>
    <row r="189" spans="1:13" s="574" customFormat="1" ht="18.75" customHeight="1">
      <c r="A189" s="522">
        <v>2</v>
      </c>
      <c r="B189" s="543" t="s">
        <v>1422</v>
      </c>
      <c r="C189" s="560" t="s">
        <v>205</v>
      </c>
      <c r="D189" s="406" t="s">
        <v>1629</v>
      </c>
      <c r="E189" s="406" t="s">
        <v>948</v>
      </c>
      <c r="F189" s="633"/>
      <c r="G189" s="633"/>
      <c r="H189" s="634"/>
      <c r="I189" s="406" t="s">
        <v>541</v>
      </c>
      <c r="J189" s="633"/>
      <c r="K189" s="580">
        <f>'ПРИЛ №3'!G353</f>
        <v>660</v>
      </c>
      <c r="L189" s="962"/>
      <c r="M189" s="540">
        <f t="shared" si="4"/>
        <v>660</v>
      </c>
    </row>
    <row r="190" spans="1:13" s="574" customFormat="1" ht="24.75" customHeight="1">
      <c r="A190" s="522">
        <v>3</v>
      </c>
      <c r="B190" s="406" t="s">
        <v>1522</v>
      </c>
      <c r="C190" s="560" t="s">
        <v>205</v>
      </c>
      <c r="D190" s="406" t="s">
        <v>944</v>
      </c>
      <c r="E190" s="406" t="s">
        <v>1882</v>
      </c>
      <c r="F190" s="633"/>
      <c r="G190" s="633"/>
      <c r="H190" s="634"/>
      <c r="I190" s="406" t="s">
        <v>541</v>
      </c>
      <c r="J190" s="633"/>
      <c r="K190" s="580">
        <f>'ПРИЛ №3'!G364</f>
        <v>4200</v>
      </c>
      <c r="L190" s="962"/>
      <c r="M190" s="540">
        <f t="shared" si="4"/>
        <v>4200</v>
      </c>
    </row>
    <row r="191" spans="1:13" s="567" customFormat="1" ht="15" customHeight="1">
      <c r="A191" s="562"/>
      <c r="B191" s="592" t="s">
        <v>560</v>
      </c>
      <c r="C191" s="564"/>
      <c r="D191" s="406"/>
      <c r="E191" s="563"/>
      <c r="F191" s="563"/>
      <c r="G191" s="563"/>
      <c r="H191" s="565"/>
      <c r="I191" s="563"/>
      <c r="J191" s="563"/>
      <c r="K191" s="566">
        <f>SUM(K188:K190)</f>
        <v>7860</v>
      </c>
      <c r="L191" s="566">
        <f>SUM(L188:L190)</f>
        <v>0</v>
      </c>
      <c r="M191" s="566">
        <f>SUM(M188:M190)</f>
        <v>7860</v>
      </c>
    </row>
    <row r="192" spans="1:13" s="574" customFormat="1" ht="12.75" thickBot="1">
      <c r="A192" s="568"/>
      <c r="B192" s="569" t="s">
        <v>56</v>
      </c>
      <c r="C192" s="570"/>
      <c r="D192" s="571"/>
      <c r="E192" s="571"/>
      <c r="F192" s="571"/>
      <c r="G192" s="571"/>
      <c r="H192" s="572"/>
      <c r="I192" s="571"/>
      <c r="J192" s="571"/>
      <c r="K192" s="573">
        <f>K182+K187+K191</f>
        <v>120727</v>
      </c>
      <c r="L192" s="573">
        <f>L182+L187+L191</f>
        <v>0</v>
      </c>
      <c r="M192" s="573">
        <f>M182+M187+M191</f>
        <v>120727</v>
      </c>
    </row>
    <row r="193" spans="1:13" s="574" customFormat="1" ht="12">
      <c r="A193" s="575"/>
      <c r="B193" s="524"/>
      <c r="C193" s="576"/>
      <c r="D193" s="577"/>
      <c r="E193" s="577"/>
      <c r="F193" s="577"/>
      <c r="G193" s="577"/>
      <c r="H193" s="578"/>
      <c r="I193" s="577"/>
      <c r="J193" s="577"/>
      <c r="K193" s="579"/>
      <c r="L193" s="579"/>
      <c r="M193" s="540"/>
    </row>
    <row r="194" spans="1:13" ht="12.75" thickBot="1">
      <c r="A194" s="551" t="s">
        <v>181</v>
      </c>
      <c r="M194" s="540"/>
    </row>
    <row r="195" spans="1:13" ht="14.25" customHeight="1" thickBot="1">
      <c r="A195" s="2047" t="s">
        <v>905</v>
      </c>
      <c r="B195" s="2049" t="s">
        <v>317</v>
      </c>
      <c r="C195" s="2051" t="s">
        <v>1625</v>
      </c>
      <c r="D195" s="549" t="s">
        <v>362</v>
      </c>
      <c r="E195" s="555" t="s">
        <v>363</v>
      </c>
      <c r="F195" s="2045" t="s">
        <v>906</v>
      </c>
      <c r="G195" s="2045" t="s">
        <v>907</v>
      </c>
      <c r="H195" s="2045" t="s">
        <v>359</v>
      </c>
      <c r="I195" s="2045" t="s">
        <v>360</v>
      </c>
      <c r="J195" s="2045" t="s">
        <v>775</v>
      </c>
      <c r="K195" s="2057" t="s">
        <v>366</v>
      </c>
      <c r="L195" s="2058"/>
      <c r="M195" s="540"/>
    </row>
    <row r="196" spans="1:13" ht="21" customHeight="1" thickBot="1">
      <c r="A196" s="2048"/>
      <c r="B196" s="2050"/>
      <c r="C196" s="2052"/>
      <c r="D196" s="883" t="s">
        <v>361</v>
      </c>
      <c r="E196" s="590" t="s">
        <v>361</v>
      </c>
      <c r="F196" s="2046"/>
      <c r="G196" s="2046"/>
      <c r="H196" s="2046"/>
      <c r="I196" s="2046"/>
      <c r="J196" s="2046"/>
      <c r="K196" s="884" t="s">
        <v>364</v>
      </c>
      <c r="L196" s="963" t="s">
        <v>365</v>
      </c>
      <c r="M196" s="1522"/>
    </row>
    <row r="197" spans="1:13" ht="27.75" customHeight="1">
      <c r="A197" s="887">
        <v>5</v>
      </c>
      <c r="B197" s="406" t="s">
        <v>1164</v>
      </c>
      <c r="C197" s="589" t="s">
        <v>1126</v>
      </c>
      <c r="D197" s="438" t="s">
        <v>1650</v>
      </c>
      <c r="E197" s="438"/>
      <c r="F197" s="438"/>
      <c r="G197" s="438"/>
      <c r="H197" s="599"/>
      <c r="I197" s="406" t="s">
        <v>541</v>
      </c>
      <c r="J197" s="438"/>
      <c r="K197" s="600">
        <f>'ПРИЛ №3'!G140</f>
        <v>2250</v>
      </c>
      <c r="L197" s="958"/>
      <c r="M197" s="540">
        <f>K197-L197</f>
        <v>2250</v>
      </c>
    </row>
    <row r="198" spans="1:13" s="1528" customFormat="1" ht="21" customHeight="1">
      <c r="A198" s="1525"/>
      <c r="B198" s="1526" t="s">
        <v>1823</v>
      </c>
      <c r="C198" s="1527"/>
      <c r="D198" s="1525"/>
      <c r="E198" s="1525"/>
      <c r="F198" s="1525"/>
      <c r="G198" s="1525"/>
      <c r="H198" s="1525"/>
      <c r="I198" s="1525"/>
      <c r="J198" s="1525"/>
      <c r="K198" s="1529">
        <f>SUM(K197)</f>
        <v>2250</v>
      </c>
      <c r="L198" s="1529">
        <f>SUM(L197)</f>
        <v>0</v>
      </c>
      <c r="M198" s="1529">
        <f>SUM(M197)</f>
        <v>2250</v>
      </c>
    </row>
    <row r="199" spans="1:13" ht="27.75" customHeight="1">
      <c r="A199" s="887">
        <v>3</v>
      </c>
      <c r="B199" s="404" t="s">
        <v>1493</v>
      </c>
      <c r="C199" s="589" t="s">
        <v>204</v>
      </c>
      <c r="D199" s="404" t="s">
        <v>925</v>
      </c>
      <c r="E199" s="404"/>
      <c r="F199" s="404"/>
      <c r="G199" s="404"/>
      <c r="H199" s="594"/>
      <c r="I199" s="404" t="s">
        <v>541</v>
      </c>
      <c r="J199" s="404"/>
      <c r="K199" s="595">
        <f>'ПРИЛ №3'!G265</f>
        <v>3500</v>
      </c>
      <c r="L199" s="957"/>
      <c r="M199" s="1523">
        <f>K199-L199</f>
        <v>3500</v>
      </c>
    </row>
    <row r="200" spans="1:13" s="567" customFormat="1" ht="12">
      <c r="A200" s="522"/>
      <c r="B200" s="581" t="s">
        <v>876</v>
      </c>
      <c r="C200" s="582"/>
      <c r="D200" s="581"/>
      <c r="E200" s="581"/>
      <c r="F200" s="581"/>
      <c r="G200" s="581"/>
      <c r="H200" s="583"/>
      <c r="I200" s="581"/>
      <c r="J200" s="581"/>
      <c r="K200" s="584">
        <f>SUM(K199:K199)</f>
        <v>3500</v>
      </c>
      <c r="L200" s="584">
        <f>SUM(L199:L199)</f>
        <v>0</v>
      </c>
      <c r="M200" s="584">
        <f>SUM(M199:M199)</f>
        <v>3500</v>
      </c>
    </row>
    <row r="201" spans="1:13" ht="16.5" customHeight="1">
      <c r="A201" s="522">
        <v>1</v>
      </c>
      <c r="B201" s="406" t="s">
        <v>1742</v>
      </c>
      <c r="C201" s="560" t="s">
        <v>205</v>
      </c>
      <c r="D201" s="406" t="s">
        <v>1651</v>
      </c>
      <c r="E201" s="406" t="s">
        <v>1360</v>
      </c>
      <c r="F201" s="406"/>
      <c r="G201" s="406"/>
      <c r="H201" s="561"/>
      <c r="I201" s="406" t="s">
        <v>541</v>
      </c>
      <c r="J201" s="406"/>
      <c r="K201" s="580">
        <f>'ПРИЛ №3'!G328</f>
        <v>4000</v>
      </c>
      <c r="L201" s="436"/>
      <c r="M201" s="540">
        <f>K201-L201</f>
        <v>4000</v>
      </c>
    </row>
    <row r="202" spans="1:13" s="567" customFormat="1" ht="12.75" thickBot="1">
      <c r="A202" s="601"/>
      <c r="B202" s="602" t="s">
        <v>560</v>
      </c>
      <c r="C202" s="603"/>
      <c r="D202" s="604"/>
      <c r="E202" s="604"/>
      <c r="F202" s="604"/>
      <c r="G202" s="604"/>
      <c r="H202" s="605"/>
      <c r="I202" s="604"/>
      <c r="J202" s="604"/>
      <c r="K202" s="606">
        <f>SUM(K201:K201)</f>
        <v>4000</v>
      </c>
      <c r="L202" s="1120">
        <f>SUM(L201:L201)</f>
        <v>0</v>
      </c>
      <c r="M202" s="540">
        <f>K202-L202</f>
        <v>4000</v>
      </c>
    </row>
    <row r="203" spans="1:13" ht="18" customHeight="1" thickBot="1">
      <c r="A203" s="1113"/>
      <c r="B203" s="1113" t="s">
        <v>822</v>
      </c>
      <c r="C203" s="643" t="s">
        <v>1251</v>
      </c>
      <c r="D203" s="645" t="s">
        <v>823</v>
      </c>
      <c r="E203" s="645"/>
      <c r="F203" s="645"/>
      <c r="G203" s="645"/>
      <c r="H203" s="556"/>
      <c r="I203" s="645" t="s">
        <v>541</v>
      </c>
      <c r="J203" s="645"/>
      <c r="K203" s="1116">
        <f>'Мат.техн.база '!H246</f>
        <v>22800</v>
      </c>
      <c r="L203" s="1116">
        <v>0</v>
      </c>
      <c r="M203" s="1117">
        <f>K203-L203</f>
        <v>22800</v>
      </c>
    </row>
    <row r="204" spans="1:13" s="567" customFormat="1" ht="12" customHeight="1" thickBot="1">
      <c r="A204" s="1107"/>
      <c r="B204" s="1108" t="s">
        <v>824</v>
      </c>
      <c r="C204" s="1109"/>
      <c r="D204" s="1110"/>
      <c r="E204" s="1110"/>
      <c r="F204" s="1110"/>
      <c r="G204" s="1110"/>
      <c r="H204" s="1111"/>
      <c r="I204" s="1110"/>
      <c r="J204" s="1110"/>
      <c r="K204" s="1112">
        <f>SUM(K203)</f>
        <v>22800</v>
      </c>
      <c r="L204" s="1112">
        <f>SUM(L203)</f>
        <v>0</v>
      </c>
      <c r="M204" s="1118">
        <f>SUM(M203)</f>
        <v>22800</v>
      </c>
    </row>
    <row r="205" spans="1:13" s="567" customFormat="1" ht="12" customHeight="1" thickBot="1">
      <c r="A205" s="1107"/>
      <c r="B205" s="1108" t="s">
        <v>887</v>
      </c>
      <c r="C205" s="1109"/>
      <c r="D205" s="1110"/>
      <c r="E205" s="1110"/>
      <c r="F205" s="1110"/>
      <c r="G205" s="1110"/>
      <c r="H205" s="1111"/>
      <c r="I205" s="1110"/>
      <c r="J205" s="1110"/>
      <c r="K205" s="1112">
        <f>K198+K200+K202+K204</f>
        <v>32550</v>
      </c>
      <c r="L205" s="1112"/>
      <c r="M205" s="1112"/>
    </row>
    <row r="206" spans="1:13" s="574" customFormat="1" ht="12.75" thickBot="1">
      <c r="A206" s="568"/>
      <c r="B206" s="569" t="s">
        <v>56</v>
      </c>
      <c r="C206" s="570"/>
      <c r="D206" s="571"/>
      <c r="E206" s="571"/>
      <c r="F206" s="571"/>
      <c r="G206" s="571"/>
      <c r="H206" s="572"/>
      <c r="I206" s="571"/>
      <c r="J206" s="571"/>
      <c r="K206" s="573">
        <f>SUM(K198,K202,K200)</f>
        <v>9750</v>
      </c>
      <c r="L206" s="573">
        <f>SUM(L198,L202,L200)</f>
        <v>0</v>
      </c>
      <c r="M206" s="573">
        <f>SUM(M198,M202,M200)</f>
        <v>9750</v>
      </c>
    </row>
    <row r="207" spans="1:13" s="574" customFormat="1" ht="12">
      <c r="A207" s="575"/>
      <c r="B207" s="524"/>
      <c r="C207" s="576"/>
      <c r="D207" s="577"/>
      <c r="E207" s="577"/>
      <c r="F207" s="577"/>
      <c r="G207" s="577"/>
      <c r="H207" s="578"/>
      <c r="I207" s="577"/>
      <c r="J207" s="577"/>
      <c r="K207" s="579"/>
      <c r="L207" s="577"/>
      <c r="M207" s="540"/>
    </row>
    <row r="208" spans="1:13" ht="12.75" thickBot="1">
      <c r="A208" s="551" t="s">
        <v>1439</v>
      </c>
      <c r="M208" s="540"/>
    </row>
    <row r="209" spans="1:13" ht="14.25" customHeight="1" thickBot="1">
      <c r="A209" s="2047" t="s">
        <v>905</v>
      </c>
      <c r="B209" s="2049" t="s">
        <v>317</v>
      </c>
      <c r="C209" s="2051" t="s">
        <v>1625</v>
      </c>
      <c r="D209" s="549" t="s">
        <v>362</v>
      </c>
      <c r="E209" s="555" t="s">
        <v>363</v>
      </c>
      <c r="F209" s="2045" t="s">
        <v>906</v>
      </c>
      <c r="G209" s="2045" t="s">
        <v>907</v>
      </c>
      <c r="H209" s="2045" t="s">
        <v>359</v>
      </c>
      <c r="I209" s="2045" t="s">
        <v>360</v>
      </c>
      <c r="J209" s="2045" t="s">
        <v>775</v>
      </c>
      <c r="K209" s="2057" t="s">
        <v>366</v>
      </c>
      <c r="L209" s="2058"/>
      <c r="M209" s="540"/>
    </row>
    <row r="210" spans="1:13" ht="27" customHeight="1" thickBot="1">
      <c r="A210" s="2048"/>
      <c r="B210" s="2050"/>
      <c r="C210" s="2052"/>
      <c r="D210" s="550" t="s">
        <v>361</v>
      </c>
      <c r="E210" s="556" t="s">
        <v>361</v>
      </c>
      <c r="F210" s="2046"/>
      <c r="G210" s="2046"/>
      <c r="H210" s="2046"/>
      <c r="I210" s="2046"/>
      <c r="J210" s="2046"/>
      <c r="K210" s="557" t="s">
        <v>364</v>
      </c>
      <c r="L210" s="951" t="s">
        <v>365</v>
      </c>
      <c r="M210" s="540"/>
    </row>
    <row r="211" spans="1:13" ht="27" customHeight="1">
      <c r="A211" s="522">
        <v>1</v>
      </c>
      <c r="B211" s="245" t="s">
        <v>990</v>
      </c>
      <c r="C211" s="560" t="s">
        <v>203</v>
      </c>
      <c r="D211" s="406" t="s">
        <v>1425</v>
      </c>
      <c r="E211" s="406" t="s">
        <v>1628</v>
      </c>
      <c r="F211" s="406"/>
      <c r="G211" s="406"/>
      <c r="H211" s="561"/>
      <c r="I211" s="406" t="s">
        <v>541</v>
      </c>
      <c r="J211" s="406"/>
      <c r="K211" s="580">
        <f>'ПРИЛ №3'!G242</f>
        <v>834</v>
      </c>
      <c r="L211" s="436"/>
      <c r="M211" s="540">
        <f>K211-L211</f>
        <v>834</v>
      </c>
    </row>
    <row r="212" spans="1:13" ht="17.25" customHeight="1">
      <c r="A212" s="562">
        <v>2</v>
      </c>
      <c r="B212" s="245" t="s">
        <v>82</v>
      </c>
      <c r="C212" s="593" t="s">
        <v>203</v>
      </c>
      <c r="D212" s="404" t="s">
        <v>1424</v>
      </c>
      <c r="E212" s="406" t="s">
        <v>1628</v>
      </c>
      <c r="F212" s="404"/>
      <c r="G212" s="404"/>
      <c r="H212" s="594"/>
      <c r="I212" s="406" t="s">
        <v>541</v>
      </c>
      <c r="J212" s="404"/>
      <c r="K212" s="595">
        <f>'ПРИЛ №3'!G256</f>
        <v>6471</v>
      </c>
      <c r="L212" s="957"/>
      <c r="M212" s="540">
        <f>K212-L212</f>
        <v>6471</v>
      </c>
    </row>
    <row r="213" spans="1:13" s="567" customFormat="1" ht="12">
      <c r="A213" s="562"/>
      <c r="B213" s="592" t="s">
        <v>382</v>
      </c>
      <c r="C213" s="564"/>
      <c r="D213" s="563"/>
      <c r="E213" s="563"/>
      <c r="F213" s="563"/>
      <c r="G213" s="563"/>
      <c r="H213" s="565"/>
      <c r="I213" s="563"/>
      <c r="J213" s="563"/>
      <c r="K213" s="566">
        <f>SUM(K211:K212)</f>
        <v>7305</v>
      </c>
      <c r="L213" s="566">
        <f>SUM(L211:L212)</f>
        <v>0</v>
      </c>
      <c r="M213" s="566">
        <f>SUM(M211:M212)</f>
        <v>7305</v>
      </c>
    </row>
    <row r="214" spans="1:13" s="574" customFormat="1" ht="15.75" customHeight="1" thickBot="1">
      <c r="A214" s="568"/>
      <c r="B214" s="569" t="s">
        <v>56</v>
      </c>
      <c r="C214" s="570"/>
      <c r="D214" s="571"/>
      <c r="E214" s="571"/>
      <c r="F214" s="571"/>
      <c r="G214" s="571"/>
      <c r="H214" s="572"/>
      <c r="I214" s="571"/>
      <c r="J214" s="571"/>
      <c r="K214" s="573">
        <f>K213</f>
        <v>7305</v>
      </c>
      <c r="L214" s="573">
        <f>L213</f>
        <v>0</v>
      </c>
      <c r="M214" s="573">
        <f>M213</f>
        <v>7305</v>
      </c>
    </row>
    <row r="215" spans="1:13" s="574" customFormat="1" ht="12">
      <c r="A215" s="575"/>
      <c r="B215" s="524"/>
      <c r="C215" s="576"/>
      <c r="D215" s="577"/>
      <c r="E215" s="577"/>
      <c r="F215" s="577"/>
      <c r="G215" s="577"/>
      <c r="H215" s="578"/>
      <c r="I215" s="577"/>
      <c r="J215" s="577"/>
      <c r="K215" s="579"/>
      <c r="L215" s="577"/>
      <c r="M215" s="540"/>
    </row>
    <row r="216" spans="1:13" ht="12.75" thickBot="1">
      <c r="A216" s="551" t="s">
        <v>1877</v>
      </c>
      <c r="M216" s="540"/>
    </row>
    <row r="217" spans="1:13" ht="14.25" customHeight="1" thickBot="1">
      <c r="A217" s="2047" t="s">
        <v>905</v>
      </c>
      <c r="B217" s="2049" t="s">
        <v>317</v>
      </c>
      <c r="C217" s="2051" t="s">
        <v>1625</v>
      </c>
      <c r="D217" s="549" t="s">
        <v>362</v>
      </c>
      <c r="E217" s="555" t="s">
        <v>363</v>
      </c>
      <c r="F217" s="2045" t="s">
        <v>906</v>
      </c>
      <c r="G217" s="2045" t="s">
        <v>907</v>
      </c>
      <c r="H217" s="2045" t="s">
        <v>359</v>
      </c>
      <c r="I217" s="2045" t="s">
        <v>360</v>
      </c>
      <c r="J217" s="2045" t="s">
        <v>775</v>
      </c>
      <c r="K217" s="2057" t="s">
        <v>366</v>
      </c>
      <c r="L217" s="2058"/>
      <c r="M217" s="540"/>
    </row>
    <row r="218" spans="1:13" ht="9" customHeight="1" thickBot="1">
      <c r="A218" s="2048"/>
      <c r="B218" s="2050"/>
      <c r="C218" s="2052"/>
      <c r="D218" s="550" t="s">
        <v>361</v>
      </c>
      <c r="E218" s="556" t="s">
        <v>361</v>
      </c>
      <c r="F218" s="2046"/>
      <c r="G218" s="2046"/>
      <c r="H218" s="2046"/>
      <c r="I218" s="2046"/>
      <c r="J218" s="2046"/>
      <c r="K218" s="557" t="s">
        <v>364</v>
      </c>
      <c r="L218" s="951" t="s">
        <v>365</v>
      </c>
      <c r="M218" s="540"/>
    </row>
    <row r="219" spans="1:13" ht="26.25" customHeight="1">
      <c r="A219" s="597">
        <v>2</v>
      </c>
      <c r="B219" s="406" t="s">
        <v>263</v>
      </c>
      <c r="C219" s="598" t="s">
        <v>205</v>
      </c>
      <c r="D219" s="438" t="s">
        <v>1649</v>
      </c>
      <c r="E219" s="438" t="s">
        <v>727</v>
      </c>
      <c r="F219" s="438"/>
      <c r="G219" s="438"/>
      <c r="H219" s="599"/>
      <c r="I219" s="543" t="s">
        <v>541</v>
      </c>
      <c r="J219" s="438"/>
      <c r="K219" s="600">
        <f>'ПРИЛ №3'!G323</f>
        <v>20300</v>
      </c>
      <c r="L219" s="958"/>
      <c r="M219" s="540">
        <f>K219-L219</f>
        <v>20300</v>
      </c>
    </row>
    <row r="220" spans="1:13" s="567" customFormat="1" ht="12.75" thickBot="1">
      <c r="A220" s="601"/>
      <c r="B220" s="602" t="s">
        <v>560</v>
      </c>
      <c r="C220" s="603"/>
      <c r="D220" s="604"/>
      <c r="E220" s="604"/>
      <c r="F220" s="604"/>
      <c r="G220" s="604"/>
      <c r="H220" s="605"/>
      <c r="I220" s="604"/>
      <c r="J220" s="604"/>
      <c r="K220" s="606">
        <f>SUM(K219:K219)</f>
        <v>20300</v>
      </c>
      <c r="L220" s="606">
        <f>SUM(L219:L219)</f>
        <v>0</v>
      </c>
      <c r="M220" s="606">
        <f>SUM(M219:M219)</f>
        <v>20300</v>
      </c>
    </row>
    <row r="221" spans="1:13" s="574" customFormat="1" ht="12.75" thickBot="1">
      <c r="A221" s="568"/>
      <c r="B221" s="569" t="s">
        <v>56</v>
      </c>
      <c r="C221" s="570"/>
      <c r="D221" s="571"/>
      <c r="E221" s="571"/>
      <c r="F221" s="571"/>
      <c r="G221" s="571"/>
      <c r="H221" s="572"/>
      <c r="I221" s="571"/>
      <c r="J221" s="571"/>
      <c r="K221" s="573">
        <f>SUM(K220)</f>
        <v>20300</v>
      </c>
      <c r="L221" s="573">
        <f>SUM(L220)</f>
        <v>0</v>
      </c>
      <c r="M221" s="573">
        <f>SUM(M220)</f>
        <v>20300</v>
      </c>
    </row>
    <row r="222" spans="1:13" s="574" customFormat="1" ht="12">
      <c r="A222" s="575"/>
      <c r="B222" s="524"/>
      <c r="C222" s="576"/>
      <c r="D222" s="577"/>
      <c r="E222" s="577"/>
      <c r="F222" s="577"/>
      <c r="G222" s="577"/>
      <c r="H222" s="578"/>
      <c r="I222" s="577"/>
      <c r="J222" s="577"/>
      <c r="K222" s="579"/>
      <c r="L222" s="577"/>
      <c r="M222" s="540"/>
    </row>
    <row r="223" spans="1:13" ht="12.75" thickBot="1">
      <c r="A223" s="551" t="s">
        <v>1700</v>
      </c>
      <c r="M223" s="540"/>
    </row>
    <row r="224" spans="1:13" ht="14.25" customHeight="1" thickBot="1">
      <c r="A224" s="2047" t="s">
        <v>905</v>
      </c>
      <c r="B224" s="2049" t="s">
        <v>317</v>
      </c>
      <c r="C224" s="2051" t="s">
        <v>1625</v>
      </c>
      <c r="D224" s="549" t="s">
        <v>362</v>
      </c>
      <c r="E224" s="555" t="s">
        <v>363</v>
      </c>
      <c r="F224" s="2045" t="s">
        <v>906</v>
      </c>
      <c r="G224" s="2045" t="s">
        <v>907</v>
      </c>
      <c r="H224" s="2045" t="s">
        <v>359</v>
      </c>
      <c r="I224" s="2045" t="s">
        <v>360</v>
      </c>
      <c r="J224" s="2045" t="s">
        <v>775</v>
      </c>
      <c r="K224" s="2057" t="s">
        <v>366</v>
      </c>
      <c r="L224" s="2058"/>
      <c r="M224" s="540"/>
    </row>
    <row r="225" spans="1:13" ht="19.5" customHeight="1" thickBot="1">
      <c r="A225" s="2048"/>
      <c r="B225" s="2050"/>
      <c r="C225" s="2052"/>
      <c r="D225" s="550" t="s">
        <v>361</v>
      </c>
      <c r="E225" s="556" t="s">
        <v>361</v>
      </c>
      <c r="F225" s="2046"/>
      <c r="G225" s="2046"/>
      <c r="H225" s="2046"/>
      <c r="I225" s="2046"/>
      <c r="J225" s="2046"/>
      <c r="K225" s="557" t="s">
        <v>364</v>
      </c>
      <c r="L225" s="951" t="s">
        <v>365</v>
      </c>
      <c r="M225" s="540"/>
    </row>
    <row r="226" spans="1:13" ht="31.5" customHeight="1">
      <c r="A226" s="522">
        <v>1</v>
      </c>
      <c r="B226" s="264" t="str">
        <f>'ПРИЛ №3'!C237</f>
        <v>Кинологический спорт. Чемпионат города. Кубок России (зимнее многоборье)</v>
      </c>
      <c r="C226" s="560" t="s">
        <v>203</v>
      </c>
      <c r="D226" s="406" t="s">
        <v>924</v>
      </c>
      <c r="E226" s="406" t="s">
        <v>1628</v>
      </c>
      <c r="F226" s="406"/>
      <c r="G226" s="406"/>
      <c r="H226" s="561"/>
      <c r="I226" s="869" t="s">
        <v>383</v>
      </c>
      <c r="J226" s="406"/>
      <c r="K226" s="580">
        <f>'ПРИЛ №3'!G237</f>
        <v>10447</v>
      </c>
      <c r="L226" s="436"/>
      <c r="M226" s="540">
        <f>K226-L226</f>
        <v>10447</v>
      </c>
    </row>
    <row r="227" spans="1:13" ht="31.5" customHeight="1">
      <c r="A227" s="522">
        <v>2</v>
      </c>
      <c r="B227" s="406" t="str">
        <f>'ПРИЛ №3'!C243</f>
        <v>Соревнования по ОКД и ЗКС. Чемпионат ЗАТО и Кубок России</v>
      </c>
      <c r="C227" s="560" t="s">
        <v>203</v>
      </c>
      <c r="D227" s="406" t="s">
        <v>1425</v>
      </c>
      <c r="E227" s="406"/>
      <c r="F227" s="406"/>
      <c r="G227" s="406"/>
      <c r="H227" s="561"/>
      <c r="I227" s="1221" t="s">
        <v>383</v>
      </c>
      <c r="J227" s="406"/>
      <c r="K227" s="580">
        <f>'ПРИЛ №3'!G243</f>
        <v>11457</v>
      </c>
      <c r="L227" s="436"/>
      <c r="M227" s="540">
        <f aca="true" t="shared" si="5" ref="M227:M271">K227-L227</f>
        <v>11457</v>
      </c>
    </row>
    <row r="228" spans="1:13" ht="24.75" customHeight="1">
      <c r="A228" s="522">
        <v>4</v>
      </c>
      <c r="B228" s="264" t="s">
        <v>1543</v>
      </c>
      <c r="C228" s="560" t="s">
        <v>203</v>
      </c>
      <c r="D228" s="406" t="s">
        <v>1650</v>
      </c>
      <c r="E228" s="406" t="s">
        <v>1628</v>
      </c>
      <c r="F228" s="406"/>
      <c r="G228" s="406"/>
      <c r="H228" s="561"/>
      <c r="I228" s="869" t="s">
        <v>383</v>
      </c>
      <c r="J228" s="406"/>
      <c r="K228" s="580">
        <f>'ПРИЛ №3'!G249</f>
        <v>10000</v>
      </c>
      <c r="L228" s="436"/>
      <c r="M228" s="540">
        <f t="shared" si="5"/>
        <v>10000</v>
      </c>
    </row>
    <row r="229" spans="1:13" s="567" customFormat="1" ht="12">
      <c r="A229" s="522"/>
      <c r="B229" s="596" t="s">
        <v>382</v>
      </c>
      <c r="C229" s="582"/>
      <c r="D229" s="581"/>
      <c r="E229" s="581"/>
      <c r="F229" s="581"/>
      <c r="G229" s="581"/>
      <c r="H229" s="583"/>
      <c r="I229" s="581"/>
      <c r="J229" s="581"/>
      <c r="K229" s="584">
        <f>SUM(K226:K228)</f>
        <v>31904</v>
      </c>
      <c r="L229" s="584">
        <f>SUM(L226:L228)</f>
        <v>0</v>
      </c>
      <c r="M229" s="584">
        <f>SUM(M226:M228)</f>
        <v>31904</v>
      </c>
    </row>
    <row r="230" spans="1:13" s="551" customFormat="1" ht="36.75" customHeight="1">
      <c r="A230" s="522">
        <v>1</v>
      </c>
      <c r="B230" s="870" t="str">
        <f>'ПРИЛ №3'!C262</f>
        <v>Зимнее многоборье памяти Сафарова по служебному собаководству</v>
      </c>
      <c r="C230" s="560" t="s">
        <v>204</v>
      </c>
      <c r="D230" s="406" t="s">
        <v>923</v>
      </c>
      <c r="E230" s="406" t="s">
        <v>1628</v>
      </c>
      <c r="F230" s="406"/>
      <c r="G230" s="406"/>
      <c r="H230" s="561"/>
      <c r="I230" s="406" t="s">
        <v>541</v>
      </c>
      <c r="J230" s="406"/>
      <c r="K230" s="580">
        <f>'ПРИЛ №3'!G262</f>
        <v>7421</v>
      </c>
      <c r="L230" s="436"/>
      <c r="M230" s="540">
        <f t="shared" si="5"/>
        <v>7421</v>
      </c>
    </row>
    <row r="231" spans="1:13" s="567" customFormat="1" ht="12">
      <c r="A231" s="522"/>
      <c r="B231" s="596" t="s">
        <v>876</v>
      </c>
      <c r="C231" s="582"/>
      <c r="D231" s="581"/>
      <c r="E231" s="581"/>
      <c r="F231" s="581"/>
      <c r="G231" s="581"/>
      <c r="H231" s="583"/>
      <c r="I231" s="581"/>
      <c r="J231" s="581"/>
      <c r="K231" s="584">
        <f>SUM(K230:K230)</f>
        <v>7421</v>
      </c>
      <c r="L231" s="584">
        <f>SUM(L230:L230)</f>
        <v>0</v>
      </c>
      <c r="M231" s="584">
        <f>SUM(M230:M230)</f>
        <v>7421</v>
      </c>
    </row>
    <row r="232" spans="1:13" ht="26.25" customHeight="1">
      <c r="A232" s="522">
        <v>1</v>
      </c>
      <c r="B232" s="406" t="s">
        <v>274</v>
      </c>
      <c r="C232" s="560" t="s">
        <v>205</v>
      </c>
      <c r="D232" s="406" t="s">
        <v>923</v>
      </c>
      <c r="E232" s="406" t="s">
        <v>1628</v>
      </c>
      <c r="F232" s="406"/>
      <c r="G232" s="406"/>
      <c r="H232" s="561"/>
      <c r="I232" s="869" t="s">
        <v>383</v>
      </c>
      <c r="J232" s="406"/>
      <c r="K232" s="580">
        <f>'ПРИЛ №3'!G284</f>
        <v>9880</v>
      </c>
      <c r="L232" s="436"/>
      <c r="M232" s="540">
        <f t="shared" si="5"/>
        <v>9880</v>
      </c>
    </row>
    <row r="233" spans="1:13" ht="27" customHeight="1">
      <c r="A233" s="522">
        <v>2</v>
      </c>
      <c r="B233" s="401" t="s">
        <v>1191</v>
      </c>
      <c r="C233" s="560" t="s">
        <v>205</v>
      </c>
      <c r="D233" s="406" t="s">
        <v>332</v>
      </c>
      <c r="E233" s="406" t="s">
        <v>492</v>
      </c>
      <c r="F233" s="406"/>
      <c r="G233" s="406"/>
      <c r="H233" s="561"/>
      <c r="I233" s="869" t="s">
        <v>383</v>
      </c>
      <c r="J233" s="406"/>
      <c r="K233" s="580">
        <f>'ПРИЛ №3'!G342</f>
        <v>11880</v>
      </c>
      <c r="L233" s="436"/>
      <c r="M233" s="540">
        <f t="shared" si="5"/>
        <v>11880</v>
      </c>
    </row>
    <row r="234" spans="1:13" s="567" customFormat="1" ht="15" customHeight="1">
      <c r="A234" s="522"/>
      <c r="B234" s="596" t="s">
        <v>560</v>
      </c>
      <c r="C234" s="582"/>
      <c r="D234" s="581"/>
      <c r="E234" s="581"/>
      <c r="F234" s="581"/>
      <c r="G234" s="581"/>
      <c r="H234" s="583"/>
      <c r="I234" s="581"/>
      <c r="J234" s="581"/>
      <c r="K234" s="584">
        <f>SUM(K232:K233)</f>
        <v>21760</v>
      </c>
      <c r="L234" s="584">
        <f>SUM(L232:L233)</f>
        <v>0</v>
      </c>
      <c r="M234" s="584">
        <f>SUM(M232:M233)</f>
        <v>21760</v>
      </c>
    </row>
    <row r="235" spans="1:13" s="574" customFormat="1" ht="15" customHeight="1" thickBot="1">
      <c r="A235" s="568"/>
      <c r="B235" s="569" t="s">
        <v>56</v>
      </c>
      <c r="C235" s="570"/>
      <c r="D235" s="571"/>
      <c r="E235" s="571"/>
      <c r="F235" s="571"/>
      <c r="G235" s="571"/>
      <c r="H235" s="572"/>
      <c r="I235" s="571"/>
      <c r="J235" s="571"/>
      <c r="K235" s="573">
        <f>SUM(K229,K231,K234)</f>
        <v>61085</v>
      </c>
      <c r="L235" s="573">
        <f>SUM(L229,L231,L234)</f>
        <v>0</v>
      </c>
      <c r="M235" s="573">
        <f>SUM(M229,M231,M234)</f>
        <v>61085</v>
      </c>
    </row>
    <row r="236" spans="1:13" s="574" customFormat="1" ht="15" customHeight="1">
      <c r="A236" s="575"/>
      <c r="B236" s="524"/>
      <c r="C236" s="576"/>
      <c r="D236" s="577"/>
      <c r="E236" s="577"/>
      <c r="F236" s="577"/>
      <c r="G236" s="577"/>
      <c r="H236" s="578"/>
      <c r="I236" s="577"/>
      <c r="J236" s="577"/>
      <c r="K236" s="579"/>
      <c r="L236" s="577"/>
      <c r="M236" s="540"/>
    </row>
    <row r="237" spans="1:13" ht="15" customHeight="1" thickBot="1">
      <c r="A237" s="551" t="s">
        <v>922</v>
      </c>
      <c r="M237" s="540"/>
    </row>
    <row r="238" spans="1:13" ht="15" customHeight="1" thickBot="1">
      <c r="A238" s="2047" t="s">
        <v>905</v>
      </c>
      <c r="B238" s="2059" t="s">
        <v>317</v>
      </c>
      <c r="C238" s="2051" t="s">
        <v>1625</v>
      </c>
      <c r="D238" s="549" t="s">
        <v>362</v>
      </c>
      <c r="E238" s="555" t="s">
        <v>363</v>
      </c>
      <c r="F238" s="2045" t="s">
        <v>906</v>
      </c>
      <c r="G238" s="2045" t="s">
        <v>907</v>
      </c>
      <c r="H238" s="2045" t="s">
        <v>359</v>
      </c>
      <c r="I238" s="2045" t="s">
        <v>360</v>
      </c>
      <c r="J238" s="2045" t="s">
        <v>775</v>
      </c>
      <c r="K238" s="2057" t="s">
        <v>366</v>
      </c>
      <c r="L238" s="2058"/>
      <c r="M238" s="540"/>
    </row>
    <row r="239" spans="1:13" ht="15" customHeight="1" thickBot="1">
      <c r="A239" s="2048"/>
      <c r="B239" s="2060"/>
      <c r="C239" s="2052"/>
      <c r="D239" s="550" t="s">
        <v>361</v>
      </c>
      <c r="E239" s="556" t="s">
        <v>361</v>
      </c>
      <c r="F239" s="2046"/>
      <c r="G239" s="2046"/>
      <c r="H239" s="2046"/>
      <c r="I239" s="2046"/>
      <c r="J239" s="2046"/>
      <c r="K239" s="557" t="s">
        <v>364</v>
      </c>
      <c r="L239" s="951" t="s">
        <v>365</v>
      </c>
      <c r="M239" s="540"/>
    </row>
    <row r="240" spans="1:13" ht="15" customHeight="1">
      <c r="A240" s="522">
        <v>1</v>
      </c>
      <c r="B240" s="406" t="s">
        <v>1867</v>
      </c>
      <c r="C240" s="560" t="s">
        <v>1376</v>
      </c>
      <c r="D240" s="406" t="s">
        <v>923</v>
      </c>
      <c r="E240" s="406" t="s">
        <v>1628</v>
      </c>
      <c r="F240" s="406"/>
      <c r="G240" s="406"/>
      <c r="H240" s="561"/>
      <c r="I240" s="406" t="s">
        <v>541</v>
      </c>
      <c r="J240" s="406"/>
      <c r="K240" s="580">
        <f>'ПРИЛ №3'!G10</f>
        <v>6539</v>
      </c>
      <c r="L240" s="436"/>
      <c r="M240" s="540">
        <f t="shared" si="5"/>
        <v>6539</v>
      </c>
    </row>
    <row r="241" spans="1:13" ht="24.75" customHeight="1">
      <c r="A241" s="522">
        <v>2</v>
      </c>
      <c r="B241" s="406" t="str">
        <f>'ПРИЛ №3'!C11</f>
        <v>Осьминожка-2007</v>
      </c>
      <c r="C241" s="560" t="s">
        <v>1376</v>
      </c>
      <c r="D241" s="406" t="s">
        <v>925</v>
      </c>
      <c r="E241" s="406" t="s">
        <v>1628</v>
      </c>
      <c r="F241" s="406"/>
      <c r="G241" s="406"/>
      <c r="H241" s="561"/>
      <c r="I241" s="406" t="s">
        <v>541</v>
      </c>
      <c r="J241" s="406"/>
      <c r="K241" s="580">
        <f>'ПРИЛ №3'!G11</f>
        <v>4816</v>
      </c>
      <c r="L241" s="436"/>
      <c r="M241" s="540">
        <f t="shared" si="5"/>
        <v>4816</v>
      </c>
    </row>
    <row r="242" spans="1:13" ht="23.25" customHeight="1">
      <c r="A242" s="522">
        <v>4</v>
      </c>
      <c r="B242" s="406" t="str">
        <f>'ПРИЛ №3'!C12</f>
        <v>"Спортленд" - спортивный праздник</v>
      </c>
      <c r="C242" s="560" t="s">
        <v>1376</v>
      </c>
      <c r="D242" s="406" t="s">
        <v>1649</v>
      </c>
      <c r="E242" s="406" t="s">
        <v>1628</v>
      </c>
      <c r="F242" s="406"/>
      <c r="G242" s="406"/>
      <c r="H242" s="561"/>
      <c r="I242" s="406" t="s">
        <v>541</v>
      </c>
      <c r="J242" s="406"/>
      <c r="K242" s="580">
        <f>'ПРИЛ №3'!G12</f>
        <v>5490</v>
      </c>
      <c r="L242" s="436"/>
      <c r="M242" s="540">
        <f t="shared" si="5"/>
        <v>5490</v>
      </c>
    </row>
    <row r="243" spans="1:13" s="567" customFormat="1" ht="12">
      <c r="A243" s="522"/>
      <c r="B243" s="878" t="s">
        <v>1653</v>
      </c>
      <c r="C243" s="582"/>
      <c r="D243" s="581"/>
      <c r="E243" s="581"/>
      <c r="F243" s="581"/>
      <c r="G243" s="581"/>
      <c r="H243" s="583"/>
      <c r="I243" s="581"/>
      <c r="J243" s="581"/>
      <c r="K243" s="584">
        <f>SUM(K240:K242)</f>
        <v>16845</v>
      </c>
      <c r="L243" s="584">
        <f>SUM(L240:L242)</f>
        <v>0</v>
      </c>
      <c r="M243" s="584">
        <f>SUM(M240:M242)</f>
        <v>16845</v>
      </c>
    </row>
    <row r="244" spans="1:13" s="567" customFormat="1" ht="34.5" customHeight="1">
      <c r="A244" s="522">
        <v>1</v>
      </c>
      <c r="B244" s="406" t="str">
        <f>'1.2 студ'!$B$8</f>
        <v>Спортивный праздник, посвященный Дню защитников Отечества СГТА СПК, в/ч, ПУ-10, ПУ-32</v>
      </c>
      <c r="C244" s="560" t="s">
        <v>1377</v>
      </c>
      <c r="D244" s="406" t="s">
        <v>923</v>
      </c>
      <c r="E244" s="406" t="s">
        <v>1628</v>
      </c>
      <c r="F244" s="581"/>
      <c r="G244" s="581"/>
      <c r="H244" s="583"/>
      <c r="I244" s="406" t="s">
        <v>1515</v>
      </c>
      <c r="J244" s="635"/>
      <c r="K244" s="580">
        <f>'ПРИЛ №3'!G14</f>
        <v>6000</v>
      </c>
      <c r="L244" s="953"/>
      <c r="M244" s="540">
        <f t="shared" si="5"/>
        <v>6000</v>
      </c>
    </row>
    <row r="245" spans="1:13" s="551" customFormat="1" ht="36" customHeight="1">
      <c r="A245" s="522">
        <v>2</v>
      </c>
      <c r="B245" s="406" t="str">
        <f>'1.2 студ'!$B$15</f>
        <v>Спортивный праздник, посвященный Дню борьбы с наркотиками - СГТА, СПК, в/ч, ПУ-10, ПУ-32</v>
      </c>
      <c r="C245" s="560" t="s">
        <v>1377</v>
      </c>
      <c r="D245" s="406" t="s">
        <v>1425</v>
      </c>
      <c r="E245" s="406" t="s">
        <v>1628</v>
      </c>
      <c r="F245" s="890"/>
      <c r="G245" s="890"/>
      <c r="H245" s="608"/>
      <c r="I245" s="406" t="s">
        <v>1654</v>
      </c>
      <c r="J245" s="1222"/>
      <c r="K245" s="580">
        <f>'ПРИЛ №3'!G16</f>
        <v>6450</v>
      </c>
      <c r="L245" s="1220"/>
      <c r="M245" s="540">
        <f t="shared" si="5"/>
        <v>6450</v>
      </c>
    </row>
    <row r="246" spans="1:13" s="567" customFormat="1" ht="34.5" customHeight="1">
      <c r="A246" s="522">
        <v>3</v>
      </c>
      <c r="B246" s="636" t="str">
        <f>'1.2 студ'!$B$19</f>
        <v>Спортивный праздник, посвященный Дню знаний, Дню согласия и примирения - СГТА, СПК, в/ч, ПУ-10, ПУ-32</v>
      </c>
      <c r="C246" s="560" t="s">
        <v>1377</v>
      </c>
      <c r="D246" s="406" t="s">
        <v>1629</v>
      </c>
      <c r="E246" s="406" t="s">
        <v>1628</v>
      </c>
      <c r="F246" s="581"/>
      <c r="G246" s="581"/>
      <c r="H246" s="583"/>
      <c r="I246" s="406" t="s">
        <v>1655</v>
      </c>
      <c r="J246" s="635"/>
      <c r="K246" s="580">
        <f>'ПРИЛ №3'!G17</f>
        <v>6750</v>
      </c>
      <c r="L246" s="953"/>
      <c r="M246" s="540">
        <f t="shared" si="5"/>
        <v>6750</v>
      </c>
    </row>
    <row r="247" spans="1:13" s="567" customFormat="1" ht="35.25" customHeight="1">
      <c r="A247" s="522">
        <v>4</v>
      </c>
      <c r="B247" s="406" t="str">
        <f>'1.2 студ'!$B$22</f>
        <v>Спортивный праздник, посвященный Международному дню студентов, Всероссийский день призывника - СГТА, СПК, в/ч, ПУ-10, ПУ-32</v>
      </c>
      <c r="C247" s="560" t="s">
        <v>1377</v>
      </c>
      <c r="D247" s="406" t="s">
        <v>944</v>
      </c>
      <c r="E247" s="406" t="s">
        <v>1628</v>
      </c>
      <c r="F247" s="581"/>
      <c r="G247" s="581"/>
      <c r="H247" s="583"/>
      <c r="I247" s="406" t="s">
        <v>1656</v>
      </c>
      <c r="J247" s="635"/>
      <c r="K247" s="580">
        <f>'ПРИЛ №3'!G18</f>
        <v>7500</v>
      </c>
      <c r="L247" s="953"/>
      <c r="M247" s="540">
        <f t="shared" si="5"/>
        <v>7500</v>
      </c>
    </row>
    <row r="248" spans="1:13" s="551" customFormat="1" ht="36" customHeight="1">
      <c r="A248" s="522">
        <v>5</v>
      </c>
      <c r="B248" s="406" t="str">
        <f>'1.2 студ'!$B$25</f>
        <v>Спортивный праздник на призы Деда Мороза, День конституции РФ - СГТА, СПК, в/ч, ПУ-10, ПУ-32</v>
      </c>
      <c r="C248" s="560" t="s">
        <v>1377</v>
      </c>
      <c r="D248" s="406" t="s">
        <v>1424</v>
      </c>
      <c r="E248" s="406" t="s">
        <v>1628</v>
      </c>
      <c r="F248" s="890"/>
      <c r="G248" s="890"/>
      <c r="H248" s="608"/>
      <c r="I248" s="406" t="s">
        <v>1657</v>
      </c>
      <c r="J248" s="1222"/>
      <c r="K248" s="580">
        <f>'ПРИЛ №3'!G19</f>
        <v>7500</v>
      </c>
      <c r="L248" s="1220"/>
      <c r="M248" s="540">
        <f t="shared" si="5"/>
        <v>7500</v>
      </c>
    </row>
    <row r="249" spans="1:13" s="567" customFormat="1" ht="12">
      <c r="A249" s="522"/>
      <c r="B249" s="878" t="s">
        <v>496</v>
      </c>
      <c r="C249" s="582"/>
      <c r="D249" s="581"/>
      <c r="E249" s="581"/>
      <c r="F249" s="581"/>
      <c r="G249" s="581"/>
      <c r="H249" s="583"/>
      <c r="I249" s="581"/>
      <c r="J249" s="581"/>
      <c r="K249" s="584">
        <f>SUM(K244:K248)</f>
        <v>34200</v>
      </c>
      <c r="L249" s="584">
        <f>SUM(L244:L248)</f>
        <v>0</v>
      </c>
      <c r="M249" s="584">
        <f>SUM(M244:M248)</f>
        <v>34200</v>
      </c>
    </row>
    <row r="250" spans="1:13" ht="18.75" customHeight="1">
      <c r="A250" s="522">
        <v>2</v>
      </c>
      <c r="B250" s="406" t="s">
        <v>287</v>
      </c>
      <c r="C250" s="560" t="s">
        <v>1378</v>
      </c>
      <c r="D250" s="406" t="s">
        <v>1425</v>
      </c>
      <c r="E250" s="406" t="s">
        <v>1628</v>
      </c>
      <c r="F250" s="406"/>
      <c r="G250" s="406"/>
      <c r="H250" s="561"/>
      <c r="I250" s="436" t="s">
        <v>1363</v>
      </c>
      <c r="J250" s="406"/>
      <c r="K250" s="637">
        <f>'1.3 шк'!L28</f>
        <v>12000</v>
      </c>
      <c r="L250" s="436"/>
      <c r="M250" s="540">
        <f t="shared" si="5"/>
        <v>12000</v>
      </c>
    </row>
    <row r="251" spans="1:13" s="567" customFormat="1" ht="12">
      <c r="A251" s="562"/>
      <c r="B251" s="879" t="s">
        <v>497</v>
      </c>
      <c r="C251" s="564"/>
      <c r="D251" s="563"/>
      <c r="E251" s="563"/>
      <c r="F251" s="563"/>
      <c r="G251" s="563"/>
      <c r="H251" s="565"/>
      <c r="I251" s="563"/>
      <c r="J251" s="563"/>
      <c r="K251" s="566">
        <f>SUM(K250:K250)</f>
        <v>12000</v>
      </c>
      <c r="L251" s="566">
        <f>SUM(L250:L250)</f>
        <v>0</v>
      </c>
      <c r="M251" s="566">
        <f>SUM(M250:M250)</f>
        <v>12000</v>
      </c>
    </row>
    <row r="252" spans="1:13" ht="19.5" customHeight="1">
      <c r="A252" s="522">
        <v>1</v>
      </c>
      <c r="B252" s="406" t="str">
        <f>'ПРИЛ №3'!C43</f>
        <v>Зональные сор.школ.Томск в/б</v>
      </c>
      <c r="C252" s="560" t="s">
        <v>1379</v>
      </c>
      <c r="D252" s="406" t="s">
        <v>923</v>
      </c>
      <c r="E252" s="406" t="s">
        <v>948</v>
      </c>
      <c r="F252" s="406"/>
      <c r="G252" s="406"/>
      <c r="H252" s="561"/>
      <c r="I252" s="406" t="s">
        <v>929</v>
      </c>
      <c r="J252" s="406"/>
      <c r="K252" s="580">
        <f>'ПРИЛ №3'!G43</f>
        <v>20400</v>
      </c>
      <c r="L252" s="436"/>
      <c r="M252" s="540">
        <f t="shared" si="5"/>
        <v>20400</v>
      </c>
    </row>
    <row r="253" spans="1:13" ht="21" customHeight="1">
      <c r="A253" s="522">
        <v>2</v>
      </c>
      <c r="B253" s="406" t="str">
        <f>'ПРИЛ №3'!C44</f>
        <v>Зональные сор.школ.Томск б/б</v>
      </c>
      <c r="C253" s="560" t="s">
        <v>1379</v>
      </c>
      <c r="D253" s="406" t="s">
        <v>923</v>
      </c>
      <c r="E253" s="406" t="s">
        <v>948</v>
      </c>
      <c r="F253" s="406"/>
      <c r="G253" s="406"/>
      <c r="H253" s="561"/>
      <c r="I253" s="406"/>
      <c r="J253" s="406"/>
      <c r="K253" s="580">
        <f>'ПРИЛ №3'!G44</f>
        <v>22000</v>
      </c>
      <c r="L253" s="436"/>
      <c r="M253" s="540">
        <f t="shared" si="5"/>
        <v>22000</v>
      </c>
    </row>
    <row r="254" spans="1:13" ht="13.5" customHeight="1">
      <c r="A254" s="522"/>
      <c r="B254" s="406" t="str">
        <f>'ПРИЛ №3'!C45</f>
        <v>Финальные сор.школ.Томск лыжи</v>
      </c>
      <c r="C254" s="560" t="s">
        <v>1379</v>
      </c>
      <c r="D254" s="406" t="s">
        <v>923</v>
      </c>
      <c r="E254" s="406" t="s">
        <v>948</v>
      </c>
      <c r="F254" s="406"/>
      <c r="G254" s="406"/>
      <c r="H254" s="561"/>
      <c r="I254" s="406"/>
      <c r="J254" s="406"/>
      <c r="K254" s="580">
        <f>'ПРИЛ №3'!G45</f>
        <v>12600</v>
      </c>
      <c r="L254" s="436"/>
      <c r="M254" s="540">
        <f t="shared" si="5"/>
        <v>12600</v>
      </c>
    </row>
    <row r="255" spans="1:13" ht="15.75" customHeight="1">
      <c r="A255" s="522"/>
      <c r="B255" s="406" t="str">
        <f>'ПРИЛ №3'!C46</f>
        <v>Финалы Хоккей и Полиатлон</v>
      </c>
      <c r="C255" s="560" t="s">
        <v>1379</v>
      </c>
      <c r="D255" s="406" t="s">
        <v>923</v>
      </c>
      <c r="E255" s="406" t="s">
        <v>948</v>
      </c>
      <c r="F255" s="406"/>
      <c r="G255" s="406"/>
      <c r="H255" s="561"/>
      <c r="I255" s="406"/>
      <c r="J255" s="406"/>
      <c r="K255" s="580">
        <f>'ПРИЛ №3'!G46</f>
        <v>14400</v>
      </c>
      <c r="L255" s="436"/>
      <c r="M255" s="540">
        <f t="shared" si="5"/>
        <v>14400</v>
      </c>
    </row>
    <row r="256" spans="1:13" ht="20.25" customHeight="1">
      <c r="A256" s="522"/>
      <c r="B256" s="406" t="str">
        <f>'ПРИЛ №3'!C47</f>
        <v>Финальные соревнования школ.б/б Томск</v>
      </c>
      <c r="C256" s="560" t="s">
        <v>1379</v>
      </c>
      <c r="D256" s="406" t="s">
        <v>924</v>
      </c>
      <c r="E256" s="406" t="s">
        <v>948</v>
      </c>
      <c r="F256" s="406"/>
      <c r="G256" s="406"/>
      <c r="H256" s="561"/>
      <c r="I256" s="406"/>
      <c r="J256" s="406"/>
      <c r="K256" s="580">
        <f>'ПРИЛ №3'!G47</f>
        <v>14400</v>
      </c>
      <c r="L256" s="436"/>
      <c r="M256" s="540">
        <f t="shared" si="5"/>
        <v>14400</v>
      </c>
    </row>
    <row r="257" spans="1:13" ht="24" customHeight="1">
      <c r="A257" s="522">
        <v>3</v>
      </c>
      <c r="B257" s="406" t="str">
        <f>'ПРИЛ №3'!C48</f>
        <v>Зональн.соревн.школ.Томск</v>
      </c>
      <c r="C257" s="560" t="s">
        <v>1379</v>
      </c>
      <c r="D257" s="406" t="s">
        <v>1425</v>
      </c>
      <c r="E257" s="406" t="s">
        <v>948</v>
      </c>
      <c r="F257" s="406"/>
      <c r="G257" s="406"/>
      <c r="H257" s="561"/>
      <c r="I257" s="406"/>
      <c r="J257" s="406"/>
      <c r="K257" s="580">
        <f>'ПРИЛ №3'!G48</f>
        <v>29780</v>
      </c>
      <c r="L257" s="436"/>
      <c r="M257" s="540">
        <f t="shared" si="5"/>
        <v>29780</v>
      </c>
    </row>
    <row r="258" spans="1:13" ht="18.75" customHeight="1">
      <c r="A258" s="522">
        <v>4</v>
      </c>
      <c r="B258" s="406" t="str">
        <f>'ПРИЛ №3'!C49</f>
        <v>Финал областной спарт.шк.в с.Бакчар</v>
      </c>
      <c r="C258" s="560" t="s">
        <v>1379</v>
      </c>
      <c r="D258" s="406" t="s">
        <v>1649</v>
      </c>
      <c r="E258" s="406" t="s">
        <v>1122</v>
      </c>
      <c r="F258" s="406"/>
      <c r="G258" s="406"/>
      <c r="H258" s="561"/>
      <c r="I258" s="406" t="s">
        <v>929</v>
      </c>
      <c r="J258" s="406" t="s">
        <v>318</v>
      </c>
      <c r="K258" s="580">
        <f>'ПРИЛ №3'!G49</f>
        <v>105980</v>
      </c>
      <c r="L258" s="436"/>
      <c r="M258" s="540">
        <f t="shared" si="5"/>
        <v>105980</v>
      </c>
    </row>
    <row r="259" spans="1:13" s="567" customFormat="1" ht="12">
      <c r="A259" s="562"/>
      <c r="B259" s="879" t="s">
        <v>1883</v>
      </c>
      <c r="C259" s="564"/>
      <c r="D259" s="563"/>
      <c r="E259" s="563"/>
      <c r="F259" s="563"/>
      <c r="G259" s="563"/>
      <c r="H259" s="565"/>
      <c r="I259" s="563" t="s">
        <v>318</v>
      </c>
      <c r="J259" s="563"/>
      <c r="K259" s="566">
        <f>SUM(K252:K258)</f>
        <v>219560</v>
      </c>
      <c r="L259" s="566">
        <f>SUM(L252:L258)</f>
        <v>0</v>
      </c>
      <c r="M259" s="566">
        <f>SUM(M252:M258)</f>
        <v>219560</v>
      </c>
    </row>
    <row r="260" spans="1:13" ht="27.75" customHeight="1">
      <c r="A260" s="522">
        <v>1</v>
      </c>
      <c r="B260" s="406" t="s">
        <v>1520</v>
      </c>
      <c r="C260" s="560" t="s">
        <v>1189</v>
      </c>
      <c r="D260" s="406" t="s">
        <v>743</v>
      </c>
      <c r="E260" s="406" t="s">
        <v>1628</v>
      </c>
      <c r="F260" s="406"/>
      <c r="G260" s="406"/>
      <c r="H260" s="561"/>
      <c r="I260" s="406" t="s">
        <v>541</v>
      </c>
      <c r="J260" s="406"/>
      <c r="K260" s="540">
        <f>'ПРИЛ №3'!G62</f>
        <v>50000</v>
      </c>
      <c r="L260" s="436"/>
      <c r="M260" s="540">
        <f t="shared" si="5"/>
        <v>50000</v>
      </c>
    </row>
    <row r="261" spans="1:13" ht="17.25" customHeight="1">
      <c r="A261" s="522">
        <v>2</v>
      </c>
      <c r="B261" s="406" t="s">
        <v>1519</v>
      </c>
      <c r="C261" s="560" t="s">
        <v>1189</v>
      </c>
      <c r="D261" s="406" t="s">
        <v>924</v>
      </c>
      <c r="E261" s="406" t="s">
        <v>1628</v>
      </c>
      <c r="F261" s="406"/>
      <c r="G261" s="406"/>
      <c r="H261" s="561"/>
      <c r="I261" s="406" t="s">
        <v>541</v>
      </c>
      <c r="J261" s="406"/>
      <c r="K261" s="540">
        <f>'ПРИЛ №3'!G64</f>
        <v>20585</v>
      </c>
      <c r="L261" s="436"/>
      <c r="M261" s="540">
        <f t="shared" si="5"/>
        <v>20585</v>
      </c>
    </row>
    <row r="262" spans="1:13" s="567" customFormat="1" ht="15.75" customHeight="1">
      <c r="A262" s="562"/>
      <c r="B262" s="879" t="s">
        <v>555</v>
      </c>
      <c r="C262" s="564"/>
      <c r="D262" s="563"/>
      <c r="E262" s="563"/>
      <c r="F262" s="563"/>
      <c r="G262" s="563"/>
      <c r="H262" s="565"/>
      <c r="I262" s="563"/>
      <c r="J262" s="563"/>
      <c r="K262" s="566">
        <f>SUM(K260:K261)</f>
        <v>70585</v>
      </c>
      <c r="L262" s="566">
        <f>SUM(L260:L261)</f>
        <v>0</v>
      </c>
      <c r="M262" s="566">
        <f>SUM(M260:M261)</f>
        <v>70585</v>
      </c>
    </row>
    <row r="263" spans="1:13" ht="51" customHeight="1">
      <c r="A263" s="522">
        <v>1</v>
      </c>
      <c r="B263" s="406" t="s">
        <v>1120</v>
      </c>
      <c r="C263" s="560" t="s">
        <v>1190</v>
      </c>
      <c r="D263" s="406" t="s">
        <v>1649</v>
      </c>
      <c r="E263" s="406" t="s">
        <v>1628</v>
      </c>
      <c r="F263" s="406"/>
      <c r="G263" s="406"/>
      <c r="H263" s="561"/>
      <c r="I263" s="406" t="s">
        <v>541</v>
      </c>
      <c r="J263" s="406"/>
      <c r="K263" s="580">
        <f>'ПРИЛ №3'!G69</f>
        <v>44201</v>
      </c>
      <c r="L263" s="436"/>
      <c r="M263" s="540">
        <f t="shared" si="5"/>
        <v>44201</v>
      </c>
    </row>
    <row r="264" spans="1:13" ht="51" customHeight="1">
      <c r="A264" s="522">
        <v>2</v>
      </c>
      <c r="B264" s="406" t="s">
        <v>1906</v>
      </c>
      <c r="C264" s="560" t="s">
        <v>1190</v>
      </c>
      <c r="D264" s="406" t="s">
        <v>1651</v>
      </c>
      <c r="E264" s="406" t="s">
        <v>1628</v>
      </c>
      <c r="F264" s="406"/>
      <c r="G264" s="406"/>
      <c r="H264" s="561"/>
      <c r="I264" s="406" t="s">
        <v>541</v>
      </c>
      <c r="J264" s="406"/>
      <c r="K264" s="580">
        <f>'ПРИЛ №3'!G70</f>
        <v>22172</v>
      </c>
      <c r="L264" s="436"/>
      <c r="M264" s="540">
        <f t="shared" si="5"/>
        <v>22172</v>
      </c>
    </row>
    <row r="265" spans="1:13" s="567" customFormat="1" ht="12">
      <c r="A265" s="522"/>
      <c r="B265" s="878" t="s">
        <v>556</v>
      </c>
      <c r="C265" s="582"/>
      <c r="D265" s="581"/>
      <c r="E265" s="581"/>
      <c r="F265" s="581"/>
      <c r="G265" s="581"/>
      <c r="H265" s="583"/>
      <c r="I265" s="581"/>
      <c r="J265" s="581"/>
      <c r="K265" s="584">
        <f>SUM(K263:K264)</f>
        <v>66373</v>
      </c>
      <c r="L265" s="584">
        <f>SUM(L263:L264)</f>
        <v>0</v>
      </c>
      <c r="M265" s="584">
        <f>SUM(M263:M264)</f>
        <v>66373</v>
      </c>
    </row>
    <row r="266" spans="1:13" ht="33" customHeight="1">
      <c r="A266" s="522">
        <v>2</v>
      </c>
      <c r="B266" s="406" t="s">
        <v>1268</v>
      </c>
      <c r="C266" s="560" t="s">
        <v>1125</v>
      </c>
      <c r="D266" s="406" t="s">
        <v>923</v>
      </c>
      <c r="E266" s="406" t="s">
        <v>1628</v>
      </c>
      <c r="F266" s="406"/>
      <c r="G266" s="406"/>
      <c r="H266" s="561"/>
      <c r="I266" s="1225" t="s">
        <v>469</v>
      </c>
      <c r="J266" s="437"/>
      <c r="K266" s="580">
        <f>'ПРИЛ №3'!G74</f>
        <v>8631</v>
      </c>
      <c r="L266" s="436"/>
      <c r="M266" s="540">
        <f t="shared" si="5"/>
        <v>8631</v>
      </c>
    </row>
    <row r="267" spans="1:13" ht="41.25" customHeight="1">
      <c r="A267" s="522">
        <v>3</v>
      </c>
      <c r="B267" s="264" t="s">
        <v>435</v>
      </c>
      <c r="C267" s="560" t="s">
        <v>1125</v>
      </c>
      <c r="D267" s="406" t="s">
        <v>1649</v>
      </c>
      <c r="E267" s="406" t="s">
        <v>1628</v>
      </c>
      <c r="F267" s="406"/>
      <c r="G267" s="406"/>
      <c r="H267" s="561"/>
      <c r="I267" s="264" t="s">
        <v>1902</v>
      </c>
      <c r="J267" s="437"/>
      <c r="K267" s="580">
        <f>'ПРИЛ №3'!G80</f>
        <v>2250</v>
      </c>
      <c r="L267" s="436"/>
      <c r="M267" s="540">
        <f t="shared" si="5"/>
        <v>2250</v>
      </c>
    </row>
    <row r="268" spans="1:13" ht="27.75" customHeight="1">
      <c r="A268" s="522">
        <v>4</v>
      </c>
      <c r="B268" s="264" t="str">
        <f>'ПРИЛ №3'!C81</f>
        <v>  Фестиваль "Северские зори"</v>
      </c>
      <c r="C268" s="560" t="s">
        <v>1125</v>
      </c>
      <c r="D268" s="406" t="s">
        <v>1650</v>
      </c>
      <c r="E268" s="406" t="s">
        <v>1628</v>
      </c>
      <c r="F268" s="406"/>
      <c r="G268" s="406"/>
      <c r="H268" s="561"/>
      <c r="I268" s="264" t="s">
        <v>469</v>
      </c>
      <c r="J268" s="437"/>
      <c r="K268" s="580">
        <f>'ПРИЛ №3'!G81</f>
        <v>16410</v>
      </c>
      <c r="L268" s="436"/>
      <c r="M268" s="540">
        <f t="shared" si="5"/>
        <v>16410</v>
      </c>
    </row>
    <row r="269" spans="1:13" ht="49.5" customHeight="1">
      <c r="A269" s="522">
        <v>5</v>
      </c>
      <c r="B269" s="264" t="str">
        <f>'ПРИЛ №3'!C82</f>
        <v>Соревнования по настольному теннису, дартсу, шахматам, мини-футболу, волейболу (жен.), посвященные декаде инвалидов</v>
      </c>
      <c r="C269" s="560" t="s">
        <v>1125</v>
      </c>
      <c r="D269" s="406" t="s">
        <v>1424</v>
      </c>
      <c r="E269" s="406" t="s">
        <v>1628</v>
      </c>
      <c r="F269" s="406"/>
      <c r="G269" s="406"/>
      <c r="H269" s="561"/>
      <c r="I269" s="264" t="s">
        <v>469</v>
      </c>
      <c r="J269" s="437"/>
      <c r="K269" s="580">
        <f>'ПРИЛ №3'!G82</f>
        <v>14120</v>
      </c>
      <c r="L269" s="436"/>
      <c r="M269" s="540">
        <f t="shared" si="5"/>
        <v>14120</v>
      </c>
    </row>
    <row r="270" spans="1:13" ht="25.5" customHeight="1">
      <c r="A270" s="522">
        <v>6</v>
      </c>
      <c r="B270" s="264" t="s">
        <v>1703</v>
      </c>
      <c r="C270" s="560" t="s">
        <v>1125</v>
      </c>
      <c r="D270" s="406" t="s">
        <v>1424</v>
      </c>
      <c r="E270" s="406" t="s">
        <v>1628</v>
      </c>
      <c r="F270" s="406"/>
      <c r="G270" s="406"/>
      <c r="H270" s="561"/>
      <c r="I270" s="264" t="s">
        <v>1902</v>
      </c>
      <c r="J270" s="437"/>
      <c r="K270" s="580">
        <f>'ПРИЛ №3'!G83</f>
        <v>1500</v>
      </c>
      <c r="L270" s="436"/>
      <c r="M270" s="540">
        <f t="shared" si="5"/>
        <v>1500</v>
      </c>
    </row>
    <row r="271" spans="1:13" ht="42" customHeight="1">
      <c r="A271" s="522">
        <v>7</v>
      </c>
      <c r="B271" s="264" t="str">
        <f>'ПРИЛ №3'!C84</f>
        <v>Зимнний спортивный Фестиваль "Зеленый мыс" (лыжи, шаш.,м/ф,  дартс, арм., н/т)</v>
      </c>
      <c r="C271" s="560" t="s">
        <v>1125</v>
      </c>
      <c r="D271" s="406" t="s">
        <v>1424</v>
      </c>
      <c r="E271" s="406" t="s">
        <v>1628</v>
      </c>
      <c r="F271" s="406"/>
      <c r="G271" s="406"/>
      <c r="H271" s="561"/>
      <c r="I271" s="264" t="s">
        <v>1622</v>
      </c>
      <c r="J271" s="437"/>
      <c r="K271" s="580">
        <f>'ПРИЛ №3'!G84</f>
        <v>6339</v>
      </c>
      <c r="L271" s="436"/>
      <c r="M271" s="540">
        <f t="shared" si="5"/>
        <v>6339</v>
      </c>
    </row>
    <row r="272" spans="1:13" s="567" customFormat="1" ht="13.5" customHeight="1">
      <c r="A272" s="522"/>
      <c r="B272" s="878" t="s">
        <v>557</v>
      </c>
      <c r="C272" s="582"/>
      <c r="D272" s="581"/>
      <c r="E272" s="581"/>
      <c r="F272" s="581"/>
      <c r="G272" s="581"/>
      <c r="H272" s="583"/>
      <c r="I272" s="581"/>
      <c r="J272" s="581"/>
      <c r="K272" s="584">
        <f>SUM(K266:K271)</f>
        <v>49250</v>
      </c>
      <c r="L272" s="584">
        <f>SUM(L266:L271)</f>
        <v>0</v>
      </c>
      <c r="M272" s="584">
        <f>SUM(M266:M271)</f>
        <v>49250</v>
      </c>
    </row>
    <row r="273" spans="1:13" s="1275" customFormat="1" ht="13.5" customHeight="1">
      <c r="A273" s="1535"/>
      <c r="B273" s="1536" t="str">
        <f>'ПРИЛ №3'!C98</f>
        <v>Спарт.руков.работ. СХК. город</v>
      </c>
      <c r="C273" s="1361"/>
      <c r="D273" s="1536" t="s">
        <v>1627</v>
      </c>
      <c r="E273" s="1536" t="s">
        <v>1628</v>
      </c>
      <c r="F273" s="1536"/>
      <c r="G273" s="1536"/>
      <c r="H273" s="1276"/>
      <c r="I273" s="1536"/>
      <c r="J273" s="1536"/>
      <c r="K273" s="1537">
        <f>'ПРИЛ №3'!G98</f>
        <v>11000</v>
      </c>
      <c r="L273" s="1538"/>
      <c r="M273" s="540">
        <f aca="true" t="shared" si="6" ref="M273:M279">K273-L273</f>
        <v>11000</v>
      </c>
    </row>
    <row r="274" spans="1:13" s="551" customFormat="1" ht="23.25" customHeight="1">
      <c r="A274" s="522">
        <v>1</v>
      </c>
      <c r="B274" s="406" t="s">
        <v>1269</v>
      </c>
      <c r="C274" s="560" t="s">
        <v>1126</v>
      </c>
      <c r="D274" s="406" t="s">
        <v>1627</v>
      </c>
      <c r="E274" s="890"/>
      <c r="F274" s="890"/>
      <c r="G274" s="890"/>
      <c r="H274" s="608"/>
      <c r="I274" s="406" t="s">
        <v>1766</v>
      </c>
      <c r="J274" s="890"/>
      <c r="K274" s="540">
        <f>'ПРИЛ №3'!G87</f>
        <v>48854</v>
      </c>
      <c r="L274" s="1220"/>
      <c r="M274" s="540">
        <f t="shared" si="6"/>
        <v>48854</v>
      </c>
    </row>
    <row r="275" spans="1:13" s="551" customFormat="1" ht="41.25" customHeight="1">
      <c r="A275" s="522">
        <v>2</v>
      </c>
      <c r="B275" s="406" t="s">
        <v>1366</v>
      </c>
      <c r="C275" s="560" t="s">
        <v>1126</v>
      </c>
      <c r="D275" s="406" t="s">
        <v>923</v>
      </c>
      <c r="E275" s="890"/>
      <c r="F275" s="890"/>
      <c r="G275" s="890"/>
      <c r="H275" s="608"/>
      <c r="I275" s="406" t="s">
        <v>541</v>
      </c>
      <c r="J275" s="890"/>
      <c r="K275" s="540">
        <f>'ПРИЛ №3'!G102</f>
        <v>2250</v>
      </c>
      <c r="L275" s="1220"/>
      <c r="M275" s="540">
        <f t="shared" si="6"/>
        <v>2250</v>
      </c>
    </row>
    <row r="276" spans="1:13" s="551" customFormat="1" ht="52.5" customHeight="1">
      <c r="A276" s="522">
        <v>3</v>
      </c>
      <c r="B276" s="406" t="s">
        <v>1270</v>
      </c>
      <c r="C276" s="560" t="s">
        <v>1126</v>
      </c>
      <c r="D276" s="406" t="s">
        <v>924</v>
      </c>
      <c r="E276" s="890"/>
      <c r="F276" s="890"/>
      <c r="G276" s="890"/>
      <c r="H276" s="608"/>
      <c r="I276" s="406" t="s">
        <v>1273</v>
      </c>
      <c r="J276" s="890"/>
      <c r="K276" s="540">
        <f>'ПРИЛ №3'!G104</f>
        <v>9000</v>
      </c>
      <c r="L276" s="1220"/>
      <c r="M276" s="540">
        <f t="shared" si="6"/>
        <v>9000</v>
      </c>
    </row>
    <row r="277" spans="1:13" s="551" customFormat="1" ht="28.5" customHeight="1">
      <c r="A277" s="522">
        <v>4</v>
      </c>
      <c r="B277" s="406" t="s">
        <v>1271</v>
      </c>
      <c r="C277" s="560" t="s">
        <v>1126</v>
      </c>
      <c r="D277" s="406" t="s">
        <v>924</v>
      </c>
      <c r="E277" s="890"/>
      <c r="F277" s="890"/>
      <c r="G277" s="890"/>
      <c r="H277" s="608"/>
      <c r="I277" s="406" t="s">
        <v>272</v>
      </c>
      <c r="J277" s="890"/>
      <c r="K277" s="540">
        <f>'ПРИЛ №3'!G105</f>
        <v>2250</v>
      </c>
      <c r="L277" s="1220"/>
      <c r="M277" s="540">
        <f t="shared" si="6"/>
        <v>2250</v>
      </c>
    </row>
    <row r="278" spans="1:13" s="551" customFormat="1" ht="21" customHeight="1">
      <c r="A278" s="522">
        <v>5</v>
      </c>
      <c r="B278" s="406" t="s">
        <v>1272</v>
      </c>
      <c r="C278" s="560" t="s">
        <v>1126</v>
      </c>
      <c r="D278" s="406" t="s">
        <v>924</v>
      </c>
      <c r="E278" s="890"/>
      <c r="F278" s="890"/>
      <c r="G278" s="890"/>
      <c r="H278" s="608"/>
      <c r="I278" s="406" t="s">
        <v>1766</v>
      </c>
      <c r="J278" s="890"/>
      <c r="K278" s="540">
        <f>'ПРИЛ №3'!G106</f>
        <v>25678</v>
      </c>
      <c r="L278" s="1220"/>
      <c r="M278" s="540">
        <f t="shared" si="6"/>
        <v>25678</v>
      </c>
    </row>
    <row r="279" spans="1:13" s="567" customFormat="1" ht="22.5" customHeight="1">
      <c r="A279" s="522">
        <v>1</v>
      </c>
      <c r="B279" s="264" t="s">
        <v>1102</v>
      </c>
      <c r="C279" s="560" t="s">
        <v>1126</v>
      </c>
      <c r="D279" s="406" t="s">
        <v>924</v>
      </c>
      <c r="E279" s="406" t="s">
        <v>1658</v>
      </c>
      <c r="F279" s="581"/>
      <c r="G279" s="581"/>
      <c r="H279" s="583"/>
      <c r="I279" s="264" t="s">
        <v>740</v>
      </c>
      <c r="J279" s="581"/>
      <c r="K279" s="580">
        <f>'ПРИЛ №3'!$G$109</f>
        <v>2168</v>
      </c>
      <c r="L279" s="953"/>
      <c r="M279" s="540">
        <f t="shared" si="6"/>
        <v>2168</v>
      </c>
    </row>
    <row r="280" spans="1:13" s="551" customFormat="1" ht="26.25" customHeight="1">
      <c r="A280" s="522">
        <v>6</v>
      </c>
      <c r="B280" s="406" t="str">
        <f>'ПРИЛ №3'!C131</f>
        <v>Спорт.празд УГПС №8.."Средства масс.информации"</v>
      </c>
      <c r="C280" s="560" t="s">
        <v>1126</v>
      </c>
      <c r="D280" s="406" t="s">
        <v>1425</v>
      </c>
      <c r="E280" s="890"/>
      <c r="F280" s="890"/>
      <c r="G280" s="890"/>
      <c r="H280" s="608"/>
      <c r="I280" s="406" t="s">
        <v>541</v>
      </c>
      <c r="J280" s="890"/>
      <c r="K280" s="540">
        <f>'ПРИЛ №3'!G131</f>
        <v>3000</v>
      </c>
      <c r="L280" s="1220"/>
      <c r="M280" s="540">
        <f aca="true" t="shared" si="7" ref="M280:M297">K280-L280</f>
        <v>3000</v>
      </c>
    </row>
    <row r="281" spans="1:13" ht="26.25" customHeight="1">
      <c r="A281" s="543"/>
      <c r="B281" s="406" t="str">
        <f>'ПРИЛ №3'!C132</f>
        <v> День города 7 видов</v>
      </c>
      <c r="C281" s="560" t="s">
        <v>1126</v>
      </c>
      <c r="D281" s="406" t="s">
        <v>1649</v>
      </c>
      <c r="E281" s="406" t="s">
        <v>1628</v>
      </c>
      <c r="F281" s="406"/>
      <c r="G281" s="406"/>
      <c r="H281" s="561"/>
      <c r="I281" s="406"/>
      <c r="J281" s="406"/>
      <c r="K281" s="540">
        <f>'ПРИЛ №3'!G132</f>
        <v>30472</v>
      </c>
      <c r="L281" s="436"/>
      <c r="M281" s="540">
        <f t="shared" si="7"/>
        <v>30472</v>
      </c>
    </row>
    <row r="282" spans="1:13" ht="18.75" customHeight="1">
      <c r="A282" s="522">
        <v>3</v>
      </c>
      <c r="B282" s="406" t="str">
        <f>'ПРИЛ №3'!C136</f>
        <v>Спортивный праздник "Спорт для всех"</v>
      </c>
      <c r="C282" s="560" t="s">
        <v>1126</v>
      </c>
      <c r="D282" s="406" t="s">
        <v>1651</v>
      </c>
      <c r="E282" s="406" t="s">
        <v>1628</v>
      </c>
      <c r="F282" s="406"/>
      <c r="G282" s="406"/>
      <c r="H282" s="561"/>
      <c r="I282" s="406" t="s">
        <v>541</v>
      </c>
      <c r="J282" s="406"/>
      <c r="K282" s="580">
        <f>'ПРИЛ №3'!H136</f>
        <v>4250</v>
      </c>
      <c r="L282" s="436"/>
      <c r="M282" s="540">
        <f t="shared" si="7"/>
        <v>4250</v>
      </c>
    </row>
    <row r="283" spans="1:13" s="551" customFormat="1" ht="23.25" customHeight="1">
      <c r="A283" s="562">
        <v>1</v>
      </c>
      <c r="B283" s="406" t="s">
        <v>771</v>
      </c>
      <c r="C283" s="560" t="s">
        <v>1126</v>
      </c>
      <c r="D283" s="406" t="s">
        <v>1651</v>
      </c>
      <c r="E283" s="406" t="s">
        <v>1426</v>
      </c>
      <c r="F283" s="1215"/>
      <c r="G283" s="1215"/>
      <c r="H283" s="876"/>
      <c r="I283" s="404" t="s">
        <v>1052</v>
      </c>
      <c r="J283" s="1215"/>
      <c r="K283" s="580">
        <f>'ПРИЛ №3'!G138</f>
        <v>6953</v>
      </c>
      <c r="L283" s="1216"/>
      <c r="M283" s="540">
        <f t="shared" si="7"/>
        <v>6953</v>
      </c>
    </row>
    <row r="284" spans="1:13" ht="18.75" customHeight="1">
      <c r="A284" s="522">
        <v>4</v>
      </c>
      <c r="B284" s="406" t="s">
        <v>1829</v>
      </c>
      <c r="C284" s="560" t="s">
        <v>1126</v>
      </c>
      <c r="D284" s="406" t="s">
        <v>1650</v>
      </c>
      <c r="E284" s="406" t="s">
        <v>1628</v>
      </c>
      <c r="F284" s="406"/>
      <c r="G284" s="406"/>
      <c r="H284" s="561"/>
      <c r="I284" s="406" t="s">
        <v>541</v>
      </c>
      <c r="J284" s="406"/>
      <c r="K284" s="580">
        <f>'ПРИЛ №3'!G139</f>
        <v>23758</v>
      </c>
      <c r="L284" s="436"/>
      <c r="M284" s="540">
        <f t="shared" si="7"/>
        <v>23758</v>
      </c>
    </row>
    <row r="285" spans="1:13" s="567" customFormat="1" ht="24" customHeight="1">
      <c r="A285" s="522">
        <v>7</v>
      </c>
      <c r="B285" s="264" t="str">
        <f>'ПРИЛ №3'!C143</f>
        <v>Спортивный праздник "День физкультурника" награждение</v>
      </c>
      <c r="C285" s="560" t="s">
        <v>1126</v>
      </c>
      <c r="D285" s="406" t="s">
        <v>1650</v>
      </c>
      <c r="E285" s="581"/>
      <c r="F285" s="581"/>
      <c r="G285" s="581"/>
      <c r="H285" s="583"/>
      <c r="I285" s="264" t="s">
        <v>1155</v>
      </c>
      <c r="J285" s="581"/>
      <c r="K285" s="533">
        <f>'ПРИЛ №3'!G143</f>
        <v>1200</v>
      </c>
      <c r="L285" s="953"/>
      <c r="M285" s="540">
        <f t="shared" si="7"/>
        <v>1200</v>
      </c>
    </row>
    <row r="286" spans="1:13" s="567" customFormat="1" ht="19.5" customHeight="1">
      <c r="A286" s="522">
        <v>8</v>
      </c>
      <c r="B286" s="264" t="s">
        <v>1865</v>
      </c>
      <c r="C286" s="560" t="s">
        <v>1126</v>
      </c>
      <c r="D286" s="406" t="s">
        <v>1629</v>
      </c>
      <c r="E286" s="581"/>
      <c r="F286" s="581"/>
      <c r="G286" s="581"/>
      <c r="H286" s="583"/>
      <c r="I286" s="264" t="s">
        <v>1866</v>
      </c>
      <c r="J286" s="581"/>
      <c r="K286" s="533">
        <f>'ПРИЛ №3'!G149</f>
        <v>7200</v>
      </c>
      <c r="L286" s="953"/>
      <c r="M286" s="540">
        <f t="shared" si="7"/>
        <v>7200</v>
      </c>
    </row>
    <row r="287" spans="1:13" ht="17.25" customHeight="1">
      <c r="A287" s="522">
        <v>6</v>
      </c>
      <c r="B287" s="264" t="s">
        <v>305</v>
      </c>
      <c r="C287" s="560" t="s">
        <v>1126</v>
      </c>
      <c r="D287" s="406" t="s">
        <v>1629</v>
      </c>
      <c r="E287" s="406" t="s">
        <v>1628</v>
      </c>
      <c r="F287" s="406"/>
      <c r="G287" s="406"/>
      <c r="H287" s="561"/>
      <c r="I287" s="406" t="s">
        <v>541</v>
      </c>
      <c r="J287" s="406"/>
      <c r="K287" s="580">
        <f>'ПРИЛ №3'!G156</f>
        <v>21231</v>
      </c>
      <c r="L287" s="436"/>
      <c r="M287" s="540">
        <f t="shared" si="7"/>
        <v>21231</v>
      </c>
    </row>
    <row r="288" spans="1:13" ht="25.5" customHeight="1">
      <c r="A288" s="522">
        <v>2</v>
      </c>
      <c r="B288" s="264" t="s">
        <v>1103</v>
      </c>
      <c r="C288" s="560" t="s">
        <v>1126</v>
      </c>
      <c r="D288" s="406" t="s">
        <v>1629</v>
      </c>
      <c r="E288" s="406" t="s">
        <v>1658</v>
      </c>
      <c r="F288" s="406"/>
      <c r="G288" s="406"/>
      <c r="H288" s="561"/>
      <c r="I288" s="264" t="s">
        <v>740</v>
      </c>
      <c r="J288" s="406"/>
      <c r="K288" s="580">
        <f>'ПРИЛ №3'!$G$163</f>
        <v>3252</v>
      </c>
      <c r="L288" s="436"/>
      <c r="M288" s="540">
        <f t="shared" si="7"/>
        <v>3252</v>
      </c>
    </row>
    <row r="289" spans="1:13" s="567" customFormat="1" ht="19.5" customHeight="1">
      <c r="A289" s="522">
        <v>9</v>
      </c>
      <c r="B289" s="264" t="s">
        <v>1743</v>
      </c>
      <c r="C289" s="560" t="s">
        <v>1126</v>
      </c>
      <c r="D289" s="406" t="s">
        <v>1629</v>
      </c>
      <c r="E289" s="581"/>
      <c r="F289" s="581"/>
      <c r="G289" s="581"/>
      <c r="H289" s="583"/>
      <c r="I289" s="264" t="s">
        <v>1431</v>
      </c>
      <c r="J289" s="581"/>
      <c r="K289" s="533">
        <f>'ПРИЛ №3'!G164</f>
        <v>4500</v>
      </c>
      <c r="L289" s="953"/>
      <c r="M289" s="540">
        <f t="shared" si="7"/>
        <v>4500</v>
      </c>
    </row>
    <row r="290" spans="1:13" ht="18" customHeight="1">
      <c r="A290" s="522">
        <v>5</v>
      </c>
      <c r="B290" s="264" t="s">
        <v>879</v>
      </c>
      <c r="C290" s="560" t="s">
        <v>1126</v>
      </c>
      <c r="D290" s="406" t="s">
        <v>1629</v>
      </c>
      <c r="E290" s="406" t="s">
        <v>1628</v>
      </c>
      <c r="F290" s="406"/>
      <c r="G290" s="406"/>
      <c r="H290" s="561"/>
      <c r="I290" s="406" t="s">
        <v>541</v>
      </c>
      <c r="J290" s="406"/>
      <c r="K290" s="580">
        <f>'ПРИЛ №3'!G155</f>
        <v>3600</v>
      </c>
      <c r="L290" s="436"/>
      <c r="M290" s="540">
        <f t="shared" si="7"/>
        <v>3600</v>
      </c>
    </row>
    <row r="291" spans="1:13" ht="35.25" customHeight="1">
      <c r="A291" s="562"/>
      <c r="B291" s="264" t="str">
        <f>'ПРИЛ №3'!C166</f>
        <v>Спортивный праздник "День здоровья" среди коллективов физкультуры Администрации</v>
      </c>
      <c r="C291" s="560" t="s">
        <v>1126</v>
      </c>
      <c r="D291" s="406" t="s">
        <v>1629</v>
      </c>
      <c r="E291" s="406" t="s">
        <v>1628</v>
      </c>
      <c r="F291" s="404"/>
      <c r="G291" s="404"/>
      <c r="H291" s="594"/>
      <c r="I291" s="238"/>
      <c r="J291" s="404"/>
      <c r="K291" s="533">
        <f>'ПРИЛ №3'!G166</f>
        <v>2250</v>
      </c>
      <c r="L291" s="957"/>
      <c r="M291" s="540">
        <f t="shared" si="7"/>
        <v>2250</v>
      </c>
    </row>
    <row r="292" spans="1:13" s="567" customFormat="1" ht="28.5" customHeight="1">
      <c r="A292" s="522">
        <v>11</v>
      </c>
      <c r="B292" s="264" t="s">
        <v>1642</v>
      </c>
      <c r="C292" s="560" t="s">
        <v>1126</v>
      </c>
      <c r="D292" s="406" t="s">
        <v>944</v>
      </c>
      <c r="E292" s="406" t="s">
        <v>1628</v>
      </c>
      <c r="F292" s="581"/>
      <c r="G292" s="581"/>
      <c r="H292" s="583"/>
      <c r="I292" s="264" t="s">
        <v>1430</v>
      </c>
      <c r="J292" s="581"/>
      <c r="K292" s="533">
        <f>'ПРИЛ №3'!G174</f>
        <v>2250</v>
      </c>
      <c r="L292" s="953"/>
      <c r="M292" s="540">
        <f t="shared" si="7"/>
        <v>2250</v>
      </c>
    </row>
    <row r="293" spans="1:13" s="567" customFormat="1" ht="28.5" customHeight="1">
      <c r="A293" s="562"/>
      <c r="B293" s="264" t="str">
        <f>'ПРИЛ №3'!C181</f>
        <v>Итоговый спортивный праздник по спартакиаде "Спорт для всех" среди муниципальных предприятий, организаций, учебных заведений</v>
      </c>
      <c r="C293" s="560" t="s">
        <v>1126</v>
      </c>
      <c r="D293" s="406" t="s">
        <v>1424</v>
      </c>
      <c r="E293" s="406" t="s">
        <v>1628</v>
      </c>
      <c r="F293" s="563"/>
      <c r="G293" s="563"/>
      <c r="H293" s="565"/>
      <c r="I293" s="238"/>
      <c r="J293" s="563"/>
      <c r="K293" s="533">
        <f>'ПРИЛ №3'!G181</f>
        <v>34343</v>
      </c>
      <c r="L293" s="952"/>
      <c r="M293" s="540">
        <f t="shared" si="7"/>
        <v>34343</v>
      </c>
    </row>
    <row r="294" spans="1:13" s="567" customFormat="1" ht="21.75" customHeight="1">
      <c r="A294" s="562">
        <v>2</v>
      </c>
      <c r="B294" s="264" t="s">
        <v>770</v>
      </c>
      <c r="C294" s="560" t="s">
        <v>1126</v>
      </c>
      <c r="D294" s="406" t="s">
        <v>1424</v>
      </c>
      <c r="E294" s="406" t="s">
        <v>1426</v>
      </c>
      <c r="F294" s="563"/>
      <c r="G294" s="563"/>
      <c r="H294" s="565"/>
      <c r="I294" s="238" t="s">
        <v>1052</v>
      </c>
      <c r="J294" s="563"/>
      <c r="K294" s="580">
        <f>'ПРИЛ №3'!G185</f>
        <v>4200</v>
      </c>
      <c r="L294" s="952"/>
      <c r="M294" s="540">
        <f t="shared" si="7"/>
        <v>4200</v>
      </c>
    </row>
    <row r="295" spans="1:13" ht="63.75" customHeight="1">
      <c r="A295" s="522">
        <v>13</v>
      </c>
      <c r="B295" s="264" t="str">
        <f>'ПРИЛ №3'!C190</f>
        <v>Спортивный праздник "Лыжня здоровья" среди работников организаций и предприятий 1,2,3 группа. Конкурсы: перетягивание каната, армреслинг, "Веселые старты"</v>
      </c>
      <c r="C295" s="560" t="s">
        <v>1126</v>
      </c>
      <c r="D295" s="406" t="s">
        <v>1424</v>
      </c>
      <c r="E295" s="406"/>
      <c r="F295" s="406"/>
      <c r="G295" s="406"/>
      <c r="H295" s="561"/>
      <c r="I295" s="264" t="s">
        <v>541</v>
      </c>
      <c r="J295" s="406"/>
      <c r="K295" s="533">
        <f>'ПРИЛ №3'!G190</f>
        <v>35448</v>
      </c>
      <c r="L295" s="436"/>
      <c r="M295" s="540">
        <f t="shared" si="7"/>
        <v>35448</v>
      </c>
    </row>
    <row r="296" spans="1:13" ht="27" customHeight="1">
      <c r="A296" s="522">
        <v>14</v>
      </c>
      <c r="B296" s="264" t="s">
        <v>1049</v>
      </c>
      <c r="C296" s="560" t="s">
        <v>1126</v>
      </c>
      <c r="D296" s="406" t="s">
        <v>1424</v>
      </c>
      <c r="E296" s="406"/>
      <c r="F296" s="406"/>
      <c r="G296" s="406"/>
      <c r="H296" s="561"/>
      <c r="I296" s="264" t="s">
        <v>541</v>
      </c>
      <c r="J296" s="406"/>
      <c r="K296" s="533">
        <f>'ПРИЛ №3'!G189</f>
        <v>4500</v>
      </c>
      <c r="L296" s="436"/>
      <c r="M296" s="540">
        <f t="shared" si="7"/>
        <v>4500</v>
      </c>
    </row>
    <row r="297" spans="1:13" ht="33" customHeight="1">
      <c r="A297" s="522">
        <v>3</v>
      </c>
      <c r="B297" s="264" t="s">
        <v>1549</v>
      </c>
      <c r="C297" s="560" t="s">
        <v>1126</v>
      </c>
      <c r="D297" s="406" t="s">
        <v>1424</v>
      </c>
      <c r="E297" s="406" t="s">
        <v>1658</v>
      </c>
      <c r="F297" s="406"/>
      <c r="G297" s="406"/>
      <c r="H297" s="561"/>
      <c r="I297" s="264" t="s">
        <v>740</v>
      </c>
      <c r="J297" s="406"/>
      <c r="K297" s="580">
        <f>'ПРИЛ №3'!$G$188</f>
        <v>2400</v>
      </c>
      <c r="L297" s="436"/>
      <c r="M297" s="540">
        <f t="shared" si="7"/>
        <v>2400</v>
      </c>
    </row>
    <row r="298" spans="1:13" s="567" customFormat="1" ht="15" customHeight="1">
      <c r="A298" s="522"/>
      <c r="B298" s="878" t="s">
        <v>558</v>
      </c>
      <c r="C298" s="582"/>
      <c r="D298" s="406"/>
      <c r="E298" s="581"/>
      <c r="F298" s="581"/>
      <c r="G298" s="581"/>
      <c r="H298" s="583"/>
      <c r="I298" s="581"/>
      <c r="J298" s="581"/>
      <c r="K298" s="584">
        <f>SUM(K273:K297)</f>
        <v>296007</v>
      </c>
      <c r="L298" s="584">
        <f>SUM(L273:L297)</f>
        <v>0</v>
      </c>
      <c r="M298" s="584">
        <f>SUM(M273:M297)</f>
        <v>296007</v>
      </c>
    </row>
    <row r="299" spans="1:13" ht="23.25" customHeight="1">
      <c r="A299" s="522">
        <v>1</v>
      </c>
      <c r="B299" s="406" t="s">
        <v>314</v>
      </c>
      <c r="C299" s="560" t="s">
        <v>1789</v>
      </c>
      <c r="D299" s="406" t="s">
        <v>743</v>
      </c>
      <c r="E299" s="406"/>
      <c r="F299" s="406"/>
      <c r="G299" s="406"/>
      <c r="H299" s="561"/>
      <c r="I299" s="245" t="s">
        <v>541</v>
      </c>
      <c r="J299" s="406"/>
      <c r="K299" s="580">
        <f>'ПРИЛ №3'!$G$203</f>
        <v>10800</v>
      </c>
      <c r="L299" s="436"/>
      <c r="M299" s="540">
        <f>K299-L299</f>
        <v>10800</v>
      </c>
    </row>
    <row r="300" spans="1:13" s="567" customFormat="1" ht="14.25" customHeight="1">
      <c r="A300" s="522"/>
      <c r="B300" s="878" t="s">
        <v>1880</v>
      </c>
      <c r="C300" s="582"/>
      <c r="D300" s="406"/>
      <c r="E300" s="581"/>
      <c r="F300" s="581"/>
      <c r="G300" s="581"/>
      <c r="H300" s="583"/>
      <c r="I300" s="581"/>
      <c r="J300" s="581"/>
      <c r="K300" s="584">
        <f>SUM(K299:K299)</f>
        <v>10800</v>
      </c>
      <c r="L300" s="584">
        <f>SUM(L299:L299)</f>
        <v>0</v>
      </c>
      <c r="M300" s="584">
        <f>SUM(M299:M299)</f>
        <v>10800</v>
      </c>
    </row>
    <row r="301" spans="1:13" s="551" customFormat="1" ht="16.5" customHeight="1">
      <c r="A301" s="562">
        <v>1</v>
      </c>
      <c r="B301" s="545" t="s">
        <v>820</v>
      </c>
      <c r="C301" s="593" t="s">
        <v>203</v>
      </c>
      <c r="D301" s="404" t="s">
        <v>1627</v>
      </c>
      <c r="E301" s="406" t="s">
        <v>1628</v>
      </c>
      <c r="F301" s="404"/>
      <c r="G301" s="404"/>
      <c r="H301" s="594"/>
      <c r="I301" s="406" t="s">
        <v>1322</v>
      </c>
      <c r="J301" s="404"/>
      <c r="K301" s="580">
        <v>24300</v>
      </c>
      <c r="L301" s="1216"/>
      <c r="M301" s="1219">
        <f>K301-L301</f>
        <v>24300</v>
      </c>
    </row>
    <row r="302" spans="1:13" s="567" customFormat="1" ht="14.25" customHeight="1">
      <c r="A302" s="522"/>
      <c r="B302" s="878" t="s">
        <v>382</v>
      </c>
      <c r="C302" s="582"/>
      <c r="D302" s="406"/>
      <c r="E302" s="581"/>
      <c r="F302" s="581"/>
      <c r="G302" s="581"/>
      <c r="H302" s="583"/>
      <c r="I302" s="581"/>
      <c r="J302" s="581"/>
      <c r="K302" s="584">
        <f>SUM(K301:K301)</f>
        <v>24300</v>
      </c>
      <c r="L302" s="584">
        <f>SUM(L301:L301)</f>
        <v>0</v>
      </c>
      <c r="M302" s="584">
        <f>SUM(M301:M301)</f>
        <v>24300</v>
      </c>
    </row>
    <row r="303" spans="1:13" ht="18" customHeight="1">
      <c r="A303" s="522">
        <v>1</v>
      </c>
      <c r="B303" s="406" t="str">
        <f>'ПРИЛ №3'!C307</f>
        <v>Атомиада Сибири</v>
      </c>
      <c r="C303" s="560" t="s">
        <v>205</v>
      </c>
      <c r="D303" s="406" t="s">
        <v>1425</v>
      </c>
      <c r="E303" s="406" t="s">
        <v>727</v>
      </c>
      <c r="F303" s="406"/>
      <c r="G303" s="406"/>
      <c r="H303" s="561"/>
      <c r="I303" s="406" t="s">
        <v>541</v>
      </c>
      <c r="J303" s="406"/>
      <c r="K303" s="580">
        <f>'ПРИЛ №3'!G307</f>
        <v>143840</v>
      </c>
      <c r="L303" s="436"/>
      <c r="M303" s="540">
        <f>K303-L303</f>
        <v>143840</v>
      </c>
    </row>
    <row r="304" spans="1:13" s="624" customFormat="1" ht="18" customHeight="1">
      <c r="A304" s="522">
        <v>2</v>
      </c>
      <c r="B304" s="406" t="str">
        <f>'ПРИЛ №3'!C321</f>
        <v> АТОМИАДА.  Финал.</v>
      </c>
      <c r="C304" s="620" t="s">
        <v>205</v>
      </c>
      <c r="D304" s="406" t="s">
        <v>1649</v>
      </c>
      <c r="E304" s="621" t="s">
        <v>1028</v>
      </c>
      <c r="F304" s="621"/>
      <c r="G304" s="621"/>
      <c r="H304" s="622"/>
      <c r="I304" s="621" t="s">
        <v>541</v>
      </c>
      <c r="J304" s="621"/>
      <c r="K304" s="623">
        <f>'ПРИЛ №3'!G321</f>
        <v>72600</v>
      </c>
      <c r="L304" s="960"/>
      <c r="M304" s="540">
        <f>K304-L304</f>
        <v>72600</v>
      </c>
    </row>
    <row r="305" spans="1:13" s="567" customFormat="1" ht="15" customHeight="1">
      <c r="A305" s="522"/>
      <c r="B305" s="880" t="s">
        <v>560</v>
      </c>
      <c r="C305" s="582"/>
      <c r="D305" s="406"/>
      <c r="E305" s="581"/>
      <c r="F305" s="581"/>
      <c r="G305" s="581" t="s">
        <v>318</v>
      </c>
      <c r="H305" s="583"/>
      <c r="I305" s="581"/>
      <c r="J305" s="581"/>
      <c r="K305" s="584">
        <f>SUM(K303:K304)</f>
        <v>216440</v>
      </c>
      <c r="L305" s="584">
        <f>SUM(L303:L304)</f>
        <v>0</v>
      </c>
      <c r="M305" s="584">
        <f>SUM(M303:M304)</f>
        <v>216440</v>
      </c>
    </row>
    <row r="306" spans="1:13" ht="9.75" customHeight="1">
      <c r="A306" s="522">
        <v>1</v>
      </c>
      <c r="B306" s="543" t="s">
        <v>313</v>
      </c>
      <c r="C306" s="560" t="s">
        <v>206</v>
      </c>
      <c r="D306" s="406" t="s">
        <v>743</v>
      </c>
      <c r="E306" s="406"/>
      <c r="F306" s="406"/>
      <c r="G306" s="406"/>
      <c r="H306" s="561"/>
      <c r="I306" s="406"/>
      <c r="J306" s="406"/>
      <c r="K306" s="580">
        <f>'ПРИЛ №3'!G386</f>
        <v>35220</v>
      </c>
      <c r="L306" s="436"/>
      <c r="M306" s="540">
        <f>K306-L306</f>
        <v>35220</v>
      </c>
    </row>
    <row r="307" spans="1:13" s="567" customFormat="1" ht="15.75" customHeight="1">
      <c r="A307" s="522"/>
      <c r="B307" s="880" t="s">
        <v>559</v>
      </c>
      <c r="C307" s="582"/>
      <c r="D307" s="406"/>
      <c r="E307" s="581"/>
      <c r="F307" s="581"/>
      <c r="G307" s="581" t="s">
        <v>318</v>
      </c>
      <c r="H307" s="583"/>
      <c r="I307" s="581"/>
      <c r="J307" s="581"/>
      <c r="K307" s="584">
        <f>SUM(K306)</f>
        <v>35220</v>
      </c>
      <c r="L307" s="584">
        <f>SUM(L306)</f>
        <v>0</v>
      </c>
      <c r="M307" s="584">
        <f>SUM(M306)</f>
        <v>35220</v>
      </c>
    </row>
    <row r="308" spans="1:13" s="574" customFormat="1" ht="17.25" customHeight="1" thickBot="1">
      <c r="A308" s="568"/>
      <c r="B308" s="569" t="s">
        <v>56</v>
      </c>
      <c r="C308" s="570"/>
      <c r="D308" s="571"/>
      <c r="E308" s="571"/>
      <c r="F308" s="571"/>
      <c r="G308" s="571"/>
      <c r="H308" s="572"/>
      <c r="I308" s="571"/>
      <c r="J308" s="571"/>
      <c r="K308" s="573">
        <f>SUM(K243,K249,K251,K259,K187,K262,K265,K272,K298,K300,K302,K305,K307)</f>
        <v>1115600</v>
      </c>
      <c r="L308" s="573">
        <f>SUM(L243,L249,L251,L259,L187,L262,L265,L272,L298,L300,L302,L305,L307)</f>
        <v>0</v>
      </c>
      <c r="M308" s="573">
        <f>SUM(M243,M249,M251,M259,M187,M262,M265,M272,M298,M300,M302,M305,M307)</f>
        <v>1115600</v>
      </c>
    </row>
    <row r="309" spans="1:13" s="574" customFormat="1" ht="12">
      <c r="A309" s="575"/>
      <c r="B309" s="524"/>
      <c r="C309" s="576"/>
      <c r="D309" s="577"/>
      <c r="E309" s="577"/>
      <c r="F309" s="577"/>
      <c r="G309" s="577"/>
      <c r="H309" s="578"/>
      <c r="I309" s="577"/>
      <c r="J309" s="577"/>
      <c r="K309" s="579"/>
      <c r="L309" s="577"/>
      <c r="M309" s="540"/>
    </row>
    <row r="310" spans="1:13" ht="12.75" thickBot="1">
      <c r="A310" s="551" t="s">
        <v>1013</v>
      </c>
      <c r="M310" s="540">
        <f>M8+M31+M40+M56+M80+M97+M110+M116+M142+M160+M172+M192+M206+M214+M221+M235+M308</f>
        <v>2476285</v>
      </c>
    </row>
    <row r="311" spans="1:13" ht="14.25" customHeight="1" thickBot="1">
      <c r="A311" s="2047" t="s">
        <v>905</v>
      </c>
      <c r="B311" s="2049" t="s">
        <v>317</v>
      </c>
      <c r="C311" s="2051" t="s">
        <v>1625</v>
      </c>
      <c r="D311" s="549" t="s">
        <v>362</v>
      </c>
      <c r="E311" s="555" t="s">
        <v>363</v>
      </c>
      <c r="F311" s="2045" t="s">
        <v>906</v>
      </c>
      <c r="G311" s="2045" t="s">
        <v>907</v>
      </c>
      <c r="H311" s="2045" t="s">
        <v>359</v>
      </c>
      <c r="I311" s="2045" t="s">
        <v>360</v>
      </c>
      <c r="J311" s="2045" t="s">
        <v>775</v>
      </c>
      <c r="K311" s="2057" t="s">
        <v>366</v>
      </c>
      <c r="L311" s="2058"/>
      <c r="M311" s="540">
        <f>M329+M369+M403+M419+M444+M454+M466+M486+M495+M514+M526+M540+M556+M563+M570+M584+M599+M611+M623+M638+M661+M677</f>
        <v>2800589</v>
      </c>
    </row>
    <row r="312" spans="1:13" ht="9.75" customHeight="1" thickBot="1">
      <c r="A312" s="2048"/>
      <c r="B312" s="2050"/>
      <c r="C312" s="2052"/>
      <c r="D312" s="550" t="s">
        <v>361</v>
      </c>
      <c r="E312" s="556" t="s">
        <v>361</v>
      </c>
      <c r="F312" s="2046"/>
      <c r="G312" s="2046"/>
      <c r="H312" s="2046"/>
      <c r="I312" s="2046"/>
      <c r="J312" s="2046"/>
      <c r="K312" s="557" t="s">
        <v>364</v>
      </c>
      <c r="L312" s="951" t="s">
        <v>365</v>
      </c>
      <c r="M312" s="540"/>
    </row>
    <row r="313" spans="1:13" ht="18" customHeight="1">
      <c r="A313" s="887">
        <v>1</v>
      </c>
      <c r="B313" s="877" t="str">
        <f>'ПРИЛ №3'!C24</f>
        <v>Коньки. Первенство школ ЗАТО Северск</v>
      </c>
      <c r="C313" s="593" t="s">
        <v>1378</v>
      </c>
      <c r="D313" s="594" t="s">
        <v>923</v>
      </c>
      <c r="E313" s="657" t="s">
        <v>1628</v>
      </c>
      <c r="F313" s="594"/>
      <c r="G313" s="594"/>
      <c r="H313" s="594"/>
      <c r="I313" s="594" t="s">
        <v>928</v>
      </c>
      <c r="J313" s="594"/>
      <c r="K313" s="607">
        <f>'ПРИЛ №3'!G24</f>
        <v>1735</v>
      </c>
      <c r="L313" s="955"/>
      <c r="M313" s="540">
        <f>K313-L313</f>
        <v>1735</v>
      </c>
    </row>
    <row r="314" spans="1:13" ht="12">
      <c r="A314" s="608"/>
      <c r="B314" s="592" t="s">
        <v>497</v>
      </c>
      <c r="C314" s="560"/>
      <c r="D314" s="561"/>
      <c r="E314" s="561"/>
      <c r="F314" s="561"/>
      <c r="G314" s="561"/>
      <c r="H314" s="561"/>
      <c r="I314" s="561"/>
      <c r="J314" s="561"/>
      <c r="K314" s="886">
        <f>SUM(K313)</f>
        <v>1735</v>
      </c>
      <c r="L314" s="886">
        <f>SUM(L313)</f>
        <v>0</v>
      </c>
      <c r="M314" s="886">
        <f>SUM(M313)</f>
        <v>1735</v>
      </c>
    </row>
    <row r="315" spans="1:13" ht="15.75" customHeight="1">
      <c r="A315" s="562">
        <v>1</v>
      </c>
      <c r="B315" s="240" t="s">
        <v>115</v>
      </c>
      <c r="C315" s="593" t="s">
        <v>1789</v>
      </c>
      <c r="D315" s="404" t="s">
        <v>923</v>
      </c>
      <c r="E315" s="404" t="s">
        <v>1628</v>
      </c>
      <c r="F315" s="404"/>
      <c r="G315" s="404"/>
      <c r="H315" s="594"/>
      <c r="I315" s="404" t="s">
        <v>541</v>
      </c>
      <c r="J315" s="404"/>
      <c r="K315" s="595">
        <f>'ПРИЛ №3'!G207</f>
        <v>13500</v>
      </c>
      <c r="L315" s="957"/>
      <c r="M315" s="540">
        <f>K315-L315</f>
        <v>13500</v>
      </c>
    </row>
    <row r="316" spans="1:13" ht="20.25" customHeight="1">
      <c r="A316" s="522">
        <v>2</v>
      </c>
      <c r="B316" s="543" t="s">
        <v>115</v>
      </c>
      <c r="C316" s="560" t="s">
        <v>1789</v>
      </c>
      <c r="D316" s="406" t="s">
        <v>924</v>
      </c>
      <c r="E316" s="406" t="s">
        <v>1628</v>
      </c>
      <c r="F316" s="406"/>
      <c r="G316" s="406"/>
      <c r="H316" s="561"/>
      <c r="I316" s="406" t="s">
        <v>541</v>
      </c>
      <c r="J316" s="406"/>
      <c r="K316" s="595">
        <f>'ПРИЛ №3'!G209</f>
        <v>13500</v>
      </c>
      <c r="L316" s="436"/>
      <c r="M316" s="540">
        <f>K316-L316</f>
        <v>13500</v>
      </c>
    </row>
    <row r="317" spans="1:13" s="567" customFormat="1" ht="15" customHeight="1">
      <c r="A317" s="562"/>
      <c r="B317" s="592" t="s">
        <v>1880</v>
      </c>
      <c r="C317" s="564"/>
      <c r="D317" s="563"/>
      <c r="E317" s="563"/>
      <c r="F317" s="563"/>
      <c r="G317" s="563"/>
      <c r="H317" s="565"/>
      <c r="I317" s="563"/>
      <c r="J317" s="563"/>
      <c r="K317" s="566">
        <f>SUM(K315:K316)</f>
        <v>27000</v>
      </c>
      <c r="L317" s="566">
        <f>SUM(L315:L316)</f>
        <v>0</v>
      </c>
      <c r="M317" s="566">
        <f>SUM(M315:M316)</f>
        <v>27000</v>
      </c>
    </row>
    <row r="318" spans="1:13" ht="21" customHeight="1">
      <c r="A318" s="522">
        <v>1</v>
      </c>
      <c r="B318" s="406" t="s">
        <v>430</v>
      </c>
      <c r="C318" s="560" t="s">
        <v>203</v>
      </c>
      <c r="D318" s="406" t="s">
        <v>924</v>
      </c>
      <c r="E318" s="406"/>
      <c r="F318" s="406"/>
      <c r="G318" s="406"/>
      <c r="H318" s="561"/>
      <c r="I318" s="543" t="s">
        <v>541</v>
      </c>
      <c r="J318" s="406"/>
      <c r="K318" s="580">
        <f>'ПРИЛ №3'!$G$235</f>
        <v>11356</v>
      </c>
      <c r="L318" s="436"/>
      <c r="M318" s="540">
        <f>K318-L318</f>
        <v>11356</v>
      </c>
    </row>
    <row r="319" spans="1:13" ht="21" customHeight="1">
      <c r="A319" s="522">
        <v>2</v>
      </c>
      <c r="B319" s="544" t="s">
        <v>41</v>
      </c>
      <c r="C319" s="560" t="s">
        <v>203</v>
      </c>
      <c r="D319" s="406" t="s">
        <v>924</v>
      </c>
      <c r="E319" s="406"/>
      <c r="F319" s="406"/>
      <c r="G319" s="406"/>
      <c r="H319" s="561"/>
      <c r="I319" s="406" t="s">
        <v>541</v>
      </c>
      <c r="J319" s="406"/>
      <c r="K319" s="580">
        <f>'ПРИЛ №3'!$G$236</f>
        <v>11356</v>
      </c>
      <c r="L319" s="436"/>
      <c r="M319" s="540">
        <f>K319-L319</f>
        <v>11356</v>
      </c>
    </row>
    <row r="320" spans="1:13" s="567" customFormat="1" ht="16.5" customHeight="1">
      <c r="A320" s="562"/>
      <c r="B320" s="596" t="s">
        <v>382</v>
      </c>
      <c r="C320" s="564"/>
      <c r="D320" s="563"/>
      <c r="E320" s="563"/>
      <c r="F320" s="563"/>
      <c r="G320" s="563"/>
      <c r="H320" s="565"/>
      <c r="I320" s="563"/>
      <c r="J320" s="563"/>
      <c r="K320" s="566">
        <f>SUM(K318:K319)</f>
        <v>22712</v>
      </c>
      <c r="L320" s="566">
        <f>SUM(L318:L319)</f>
        <v>0</v>
      </c>
      <c r="M320" s="566">
        <f>SUM(M318:M319)</f>
        <v>22712</v>
      </c>
    </row>
    <row r="321" spans="1:13" ht="19.5" customHeight="1">
      <c r="A321" s="562">
        <v>5</v>
      </c>
      <c r="B321" s="439" t="s">
        <v>821</v>
      </c>
      <c r="C321" s="560" t="s">
        <v>205</v>
      </c>
      <c r="D321" s="406" t="s">
        <v>1627</v>
      </c>
      <c r="E321" s="406" t="s">
        <v>1014</v>
      </c>
      <c r="F321" s="406"/>
      <c r="G321" s="406"/>
      <c r="H321" s="561"/>
      <c r="I321" s="406" t="s">
        <v>541</v>
      </c>
      <c r="J321" s="406"/>
      <c r="K321" s="580">
        <f>'ПРИЛ №3'!G276</f>
        <v>24600</v>
      </c>
      <c r="L321" s="436"/>
      <c r="M321" s="540">
        <f aca="true" t="shared" si="8" ref="M321:M327">K321-L321</f>
        <v>24600</v>
      </c>
    </row>
    <row r="322" spans="1:13" ht="23.25" customHeight="1">
      <c r="A322" s="562">
        <v>6</v>
      </c>
      <c r="B322" s="406" t="s">
        <v>115</v>
      </c>
      <c r="C322" s="560" t="s">
        <v>205</v>
      </c>
      <c r="D322" s="406" t="s">
        <v>1651</v>
      </c>
      <c r="E322" s="406" t="s">
        <v>838</v>
      </c>
      <c r="F322" s="406"/>
      <c r="G322" s="406"/>
      <c r="H322" s="561"/>
      <c r="I322" s="406" t="s">
        <v>541</v>
      </c>
      <c r="J322" s="406"/>
      <c r="K322" s="580">
        <f>'ПРИЛ №3'!$G$285</f>
        <v>33000</v>
      </c>
      <c r="L322" s="436"/>
      <c r="M322" s="540">
        <f t="shared" si="8"/>
        <v>33000</v>
      </c>
    </row>
    <row r="323" spans="1:13" ht="24.75" customHeight="1">
      <c r="A323" s="562">
        <v>7</v>
      </c>
      <c r="B323" s="406" t="s">
        <v>127</v>
      </c>
      <c r="C323" s="560" t="s">
        <v>205</v>
      </c>
      <c r="D323" s="406" t="s">
        <v>924</v>
      </c>
      <c r="E323" s="406" t="s">
        <v>1264</v>
      </c>
      <c r="F323" s="406"/>
      <c r="G323" s="406"/>
      <c r="H323" s="561"/>
      <c r="I323" s="406" t="s">
        <v>541</v>
      </c>
      <c r="J323" s="406"/>
      <c r="K323" s="580">
        <f>'ПРИЛ №3'!$G$291</f>
        <v>4875</v>
      </c>
      <c r="L323" s="436"/>
      <c r="M323" s="540">
        <f t="shared" si="8"/>
        <v>4875</v>
      </c>
    </row>
    <row r="324" spans="1:13" ht="24.75" customHeight="1">
      <c r="A324" s="562">
        <v>8</v>
      </c>
      <c r="B324" s="401" t="str">
        <f>'ПРИЛ №3'!C297</f>
        <v>Конференция по конькам г.Омск</v>
      </c>
      <c r="C324" s="560" t="s">
        <v>205</v>
      </c>
      <c r="D324" s="406" t="s">
        <v>1651</v>
      </c>
      <c r="E324" s="438" t="s">
        <v>438</v>
      </c>
      <c r="F324" s="438"/>
      <c r="G324" s="438"/>
      <c r="H324" s="599"/>
      <c r="I324" s="406" t="s">
        <v>541</v>
      </c>
      <c r="J324" s="438"/>
      <c r="K324" s="580">
        <f>'ПРИЛ №3'!$G$297</f>
        <v>5600</v>
      </c>
      <c r="L324" s="958"/>
      <c r="M324" s="540">
        <f t="shared" si="8"/>
        <v>5600</v>
      </c>
    </row>
    <row r="325" spans="1:13" ht="21" customHeight="1">
      <c r="A325" s="562">
        <v>9</v>
      </c>
      <c r="B325" s="406" t="s">
        <v>827</v>
      </c>
      <c r="C325" s="560" t="s">
        <v>205</v>
      </c>
      <c r="D325" s="438" t="s">
        <v>1650</v>
      </c>
      <c r="E325" s="438" t="s">
        <v>838</v>
      </c>
      <c r="F325" s="438"/>
      <c r="G325" s="438"/>
      <c r="H325" s="599"/>
      <c r="I325" s="406" t="s">
        <v>541</v>
      </c>
      <c r="J325" s="438"/>
      <c r="K325" s="600">
        <f>'ПРИЛ №3'!$G$336</f>
        <v>78240</v>
      </c>
      <c r="L325" s="958"/>
      <c r="M325" s="540">
        <f t="shared" si="8"/>
        <v>78240</v>
      </c>
    </row>
    <row r="326" spans="1:13" ht="24.75" customHeight="1">
      <c r="A326" s="562">
        <v>11</v>
      </c>
      <c r="B326" s="406" t="s">
        <v>1765</v>
      </c>
      <c r="C326" s="560" t="s">
        <v>205</v>
      </c>
      <c r="D326" s="438" t="s">
        <v>944</v>
      </c>
      <c r="E326" s="406" t="s">
        <v>903</v>
      </c>
      <c r="F326" s="438"/>
      <c r="G326" s="438"/>
      <c r="H326" s="599"/>
      <c r="I326" s="406" t="s">
        <v>541</v>
      </c>
      <c r="J326" s="438"/>
      <c r="K326" s="600">
        <f>'ПРИЛ №3'!$G$365</f>
        <v>43200</v>
      </c>
      <c r="L326" s="958"/>
      <c r="M326" s="540">
        <f t="shared" si="8"/>
        <v>43200</v>
      </c>
    </row>
    <row r="327" spans="1:13" ht="8.25" customHeight="1">
      <c r="A327" s="562">
        <v>12</v>
      </c>
      <c r="B327" s="401" t="s">
        <v>1901</v>
      </c>
      <c r="C327" s="560" t="s">
        <v>205</v>
      </c>
      <c r="D327" s="438" t="s">
        <v>1424</v>
      </c>
      <c r="E327" s="440" t="s">
        <v>1264</v>
      </c>
      <c r="F327" s="438"/>
      <c r="G327" s="438"/>
      <c r="H327" s="599"/>
      <c r="I327" s="406" t="s">
        <v>541</v>
      </c>
      <c r="J327" s="438"/>
      <c r="K327" s="600">
        <f>'ПРИЛ №3'!$G$381</f>
        <v>16880</v>
      </c>
      <c r="L327" s="958"/>
      <c r="M327" s="540">
        <f t="shared" si="8"/>
        <v>16880</v>
      </c>
    </row>
    <row r="328" spans="1:13" s="567" customFormat="1" ht="12" customHeight="1" thickBot="1">
      <c r="A328" s="601"/>
      <c r="B328" s="602" t="s">
        <v>560</v>
      </c>
      <c r="C328" s="603"/>
      <c r="D328" s="604"/>
      <c r="E328" s="604"/>
      <c r="F328" s="604"/>
      <c r="G328" s="604"/>
      <c r="H328" s="605"/>
      <c r="I328" s="604"/>
      <c r="J328" s="604"/>
      <c r="K328" s="606">
        <f>SUM(K321:K327)</f>
        <v>206395</v>
      </c>
      <c r="L328" s="606">
        <f>SUM(L321:L327)</f>
        <v>0</v>
      </c>
      <c r="M328" s="606">
        <f>SUM(M321:M327)</f>
        <v>206395</v>
      </c>
    </row>
    <row r="329" spans="1:13" s="574" customFormat="1" ht="17.25" customHeight="1" thickBot="1">
      <c r="A329" s="568"/>
      <c r="B329" s="569" t="s">
        <v>347</v>
      </c>
      <c r="C329" s="570"/>
      <c r="D329" s="571"/>
      <c r="E329" s="571"/>
      <c r="F329" s="571"/>
      <c r="G329" s="571"/>
      <c r="H329" s="572"/>
      <c r="I329" s="571"/>
      <c r="J329" s="571"/>
      <c r="K329" s="638">
        <f>SUM(K328,K317,K320,K314)</f>
        <v>257842</v>
      </c>
      <c r="L329" s="638">
        <f>SUM(L328,L317,L320,L314)</f>
        <v>0</v>
      </c>
      <c r="M329" s="638">
        <f>SUM(M328,M317,M320,M314)</f>
        <v>257842</v>
      </c>
    </row>
    <row r="330" spans="1:13" s="574" customFormat="1" ht="12">
      <c r="A330" s="575"/>
      <c r="B330" s="524"/>
      <c r="C330" s="576"/>
      <c r="D330" s="577"/>
      <c r="E330" s="577"/>
      <c r="F330" s="577"/>
      <c r="G330" s="577"/>
      <c r="H330" s="578"/>
      <c r="I330" s="577"/>
      <c r="J330" s="577"/>
      <c r="K330" s="579"/>
      <c r="L330" s="577"/>
      <c r="M330" s="540"/>
    </row>
    <row r="331" spans="1:13" ht="12.75" thickBot="1">
      <c r="A331" s="551" t="s">
        <v>1267</v>
      </c>
      <c r="M331" s="540"/>
    </row>
    <row r="332" spans="1:13" ht="14.25" customHeight="1" thickBot="1">
      <c r="A332" s="2047" t="s">
        <v>905</v>
      </c>
      <c r="B332" s="2049" t="s">
        <v>317</v>
      </c>
      <c r="C332" s="2051" t="s">
        <v>1625</v>
      </c>
      <c r="D332" s="549" t="s">
        <v>362</v>
      </c>
      <c r="E332" s="555" t="s">
        <v>363</v>
      </c>
      <c r="F332" s="2045" t="s">
        <v>906</v>
      </c>
      <c r="G332" s="2045" t="s">
        <v>907</v>
      </c>
      <c r="H332" s="2045" t="s">
        <v>359</v>
      </c>
      <c r="I332" s="2045" t="s">
        <v>360</v>
      </c>
      <c r="J332" s="2045" t="s">
        <v>775</v>
      </c>
      <c r="K332" s="2057" t="s">
        <v>366</v>
      </c>
      <c r="L332" s="2058"/>
      <c r="M332" s="540"/>
    </row>
    <row r="333" spans="1:13" ht="28.5" customHeight="1" thickBot="1">
      <c r="A333" s="2054"/>
      <c r="B333" s="2050"/>
      <c r="C333" s="2056"/>
      <c r="D333" s="550" t="s">
        <v>361</v>
      </c>
      <c r="E333" s="556" t="s">
        <v>361</v>
      </c>
      <c r="F333" s="2046"/>
      <c r="G333" s="2046"/>
      <c r="H333" s="2046"/>
      <c r="I333" s="2046"/>
      <c r="J333" s="2046"/>
      <c r="K333" s="884" t="s">
        <v>364</v>
      </c>
      <c r="L333" s="963" t="s">
        <v>365</v>
      </c>
      <c r="M333" s="540"/>
    </row>
    <row r="334" spans="1:13" s="1275" customFormat="1" ht="28.5" customHeight="1">
      <c r="A334" s="1272"/>
      <c r="B334" s="1273" t="str">
        <f>'ПРИЛ №3'!C26</f>
        <v>Л.А " Дружба"  среди школ ЗАТО Северск.</v>
      </c>
      <c r="C334" s="1361" t="s">
        <v>1023</v>
      </c>
      <c r="D334" s="1274" t="s">
        <v>1425</v>
      </c>
      <c r="E334" s="406" t="s">
        <v>1628</v>
      </c>
      <c r="F334" s="1274"/>
      <c r="G334" s="1274"/>
      <c r="H334" s="1274"/>
      <c r="I334" s="1274"/>
      <c r="J334" s="1274"/>
      <c r="K334" s="1277">
        <f>'ПРИЛ №3'!G26</f>
        <v>300</v>
      </c>
      <c r="L334" s="1276"/>
      <c r="M334" s="540">
        <f aca="true" t="shared" si="9" ref="M334:M382">K334-L334</f>
        <v>300</v>
      </c>
    </row>
    <row r="335" spans="1:13" ht="23.25" customHeight="1">
      <c r="A335" s="888">
        <v>2</v>
      </c>
      <c r="B335" s="870" t="s">
        <v>1587</v>
      </c>
      <c r="C335" s="560" t="s">
        <v>1378</v>
      </c>
      <c r="D335" s="561" t="s">
        <v>332</v>
      </c>
      <c r="E335" s="406" t="s">
        <v>1628</v>
      </c>
      <c r="F335" s="561"/>
      <c r="G335" s="561"/>
      <c r="H335" s="561"/>
      <c r="I335" s="561" t="s">
        <v>928</v>
      </c>
      <c r="J335" s="561"/>
      <c r="K335" s="538">
        <f>'ПРИЛ №3'!G33</f>
        <v>7256</v>
      </c>
      <c r="L335" s="956"/>
      <c r="M335" s="540">
        <f t="shared" si="9"/>
        <v>7256</v>
      </c>
    </row>
    <row r="336" spans="1:13" ht="15.75" customHeight="1">
      <c r="A336" s="888">
        <v>3</v>
      </c>
      <c r="B336" s="541" t="s">
        <v>1588</v>
      </c>
      <c r="C336" s="560" t="s">
        <v>1378</v>
      </c>
      <c r="D336" s="561" t="s">
        <v>332</v>
      </c>
      <c r="E336" s="406" t="s">
        <v>1628</v>
      </c>
      <c r="F336" s="561"/>
      <c r="G336" s="561"/>
      <c r="H336" s="561"/>
      <c r="I336" s="561" t="s">
        <v>928</v>
      </c>
      <c r="J336" s="561"/>
      <c r="K336" s="538">
        <f>'ПРИЛ №3'!G35</f>
        <v>1437</v>
      </c>
      <c r="L336" s="956"/>
      <c r="M336" s="540">
        <f t="shared" si="9"/>
        <v>1437</v>
      </c>
    </row>
    <row r="337" spans="1:13" ht="12">
      <c r="A337" s="608"/>
      <c r="B337" s="596" t="s">
        <v>497</v>
      </c>
      <c r="C337" s="560"/>
      <c r="D337" s="561"/>
      <c r="E337" s="561"/>
      <c r="F337" s="561"/>
      <c r="G337" s="561"/>
      <c r="H337" s="561"/>
      <c r="I337" s="561"/>
      <c r="J337" s="561"/>
      <c r="K337" s="886">
        <f>SUM(K334:K336)</f>
        <v>8993</v>
      </c>
      <c r="L337" s="886">
        <f>SUM(L334:L336)</f>
        <v>0</v>
      </c>
      <c r="M337" s="886">
        <f>SUM(M334:M336)</f>
        <v>8993</v>
      </c>
    </row>
    <row r="338" spans="1:13" ht="30" customHeight="1">
      <c r="A338" s="522">
        <v>1</v>
      </c>
      <c r="B338" s="406" t="s">
        <v>1053</v>
      </c>
      <c r="C338" s="560" t="s">
        <v>1126</v>
      </c>
      <c r="D338" s="406" t="s">
        <v>925</v>
      </c>
      <c r="E338" s="406" t="s">
        <v>1628</v>
      </c>
      <c r="F338" s="406"/>
      <c r="G338" s="406"/>
      <c r="H338" s="561"/>
      <c r="I338" s="406" t="s">
        <v>541</v>
      </c>
      <c r="J338" s="406"/>
      <c r="K338" s="580">
        <f>'ПРИЛ №3'!$G$115</f>
        <v>4616</v>
      </c>
      <c r="L338" s="436"/>
      <c r="M338" s="540">
        <f>K338-L338</f>
        <v>4616</v>
      </c>
    </row>
    <row r="339" spans="1:13" ht="18.75" customHeight="1">
      <c r="A339" s="522">
        <v>2</v>
      </c>
      <c r="B339" s="543" t="s">
        <v>1208</v>
      </c>
      <c r="C339" s="560" t="s">
        <v>1126</v>
      </c>
      <c r="D339" s="406" t="s">
        <v>1425</v>
      </c>
      <c r="E339" s="406" t="s">
        <v>1628</v>
      </c>
      <c r="F339" s="406"/>
      <c r="G339" s="406"/>
      <c r="H339" s="561"/>
      <c r="I339" s="406" t="s">
        <v>541</v>
      </c>
      <c r="J339" s="406"/>
      <c r="K339" s="580">
        <f>'ПРИЛ №3'!$G$125</f>
        <v>10062</v>
      </c>
      <c r="L339" s="436"/>
      <c r="M339" s="540">
        <f>K339-L339</f>
        <v>10062</v>
      </c>
    </row>
    <row r="340" spans="1:13" ht="38.25" customHeight="1">
      <c r="A340" s="522">
        <v>1</v>
      </c>
      <c r="B340" s="264" t="str">
        <f>'ПРИЛ №3'!C124</f>
        <v>Весенний легкоатлетический кросс среди работников городских организаций 1,2,3 группа</v>
      </c>
      <c r="C340" s="560" t="s">
        <v>1126</v>
      </c>
      <c r="D340" s="406" t="s">
        <v>1425</v>
      </c>
      <c r="E340" s="406" t="s">
        <v>1628</v>
      </c>
      <c r="F340" s="406"/>
      <c r="G340" s="406"/>
      <c r="H340" s="561"/>
      <c r="I340" s="406" t="s">
        <v>541</v>
      </c>
      <c r="J340" s="406"/>
      <c r="K340" s="580">
        <f>'ПРИЛ №3'!G124</f>
        <v>16210</v>
      </c>
      <c r="L340" s="436"/>
      <c r="M340" s="540">
        <f t="shared" si="9"/>
        <v>16210</v>
      </c>
    </row>
    <row r="341" spans="1:13" ht="23.25" customHeight="1">
      <c r="A341" s="562">
        <v>1</v>
      </c>
      <c r="B341" s="541" t="s">
        <v>1864</v>
      </c>
      <c r="C341" s="593" t="s">
        <v>1126</v>
      </c>
      <c r="D341" s="404" t="s">
        <v>1425</v>
      </c>
      <c r="E341" s="404" t="s">
        <v>1426</v>
      </c>
      <c r="F341" s="404"/>
      <c r="G341" s="404"/>
      <c r="H341" s="594"/>
      <c r="I341" s="264" t="s">
        <v>1052</v>
      </c>
      <c r="J341" s="404"/>
      <c r="K341" s="595">
        <f>'ПРИЛ №3'!$G$130</f>
        <v>644</v>
      </c>
      <c r="L341" s="957"/>
      <c r="M341" s="540">
        <f t="shared" si="9"/>
        <v>644</v>
      </c>
    </row>
    <row r="342" spans="1:13" ht="23.25" customHeight="1">
      <c r="A342" s="562">
        <v>2</v>
      </c>
      <c r="B342" s="541" t="str">
        <f>'ПРИЛ №3'!C159</f>
        <v>Легкоатлетический кросс</v>
      </c>
      <c r="C342" s="560" t="s">
        <v>1126</v>
      </c>
      <c r="D342" s="404" t="s">
        <v>1629</v>
      </c>
      <c r="E342" s="404" t="s">
        <v>1426</v>
      </c>
      <c r="F342" s="404"/>
      <c r="G342" s="404"/>
      <c r="H342" s="594"/>
      <c r="I342" s="264" t="s">
        <v>1052</v>
      </c>
      <c r="J342" s="404"/>
      <c r="K342" s="595">
        <f>'ПРИЛ №3'!G159</f>
        <v>1411</v>
      </c>
      <c r="L342" s="957"/>
      <c r="M342" s="540">
        <f t="shared" si="9"/>
        <v>1411</v>
      </c>
    </row>
    <row r="343" spans="1:13" ht="24" customHeight="1">
      <c r="A343" s="562">
        <v>3</v>
      </c>
      <c r="B343" s="245" t="s">
        <v>57</v>
      </c>
      <c r="C343" s="593" t="s">
        <v>1126</v>
      </c>
      <c r="D343" s="404" t="s">
        <v>1629</v>
      </c>
      <c r="E343" s="404" t="s">
        <v>1426</v>
      </c>
      <c r="F343" s="404"/>
      <c r="G343" s="404"/>
      <c r="H343" s="594"/>
      <c r="I343" s="264" t="s">
        <v>1052</v>
      </c>
      <c r="J343" s="404"/>
      <c r="K343" s="595">
        <f>'ПРИЛ №3'!$G$161</f>
        <v>1890</v>
      </c>
      <c r="L343" s="957"/>
      <c r="M343" s="540">
        <f t="shared" si="9"/>
        <v>1890</v>
      </c>
    </row>
    <row r="344" spans="1:13" ht="15.75" customHeight="1">
      <c r="A344" s="597">
        <v>2</v>
      </c>
      <c r="B344" s="1226" t="s">
        <v>328</v>
      </c>
      <c r="C344" s="593" t="s">
        <v>1126</v>
      </c>
      <c r="D344" s="438" t="s">
        <v>332</v>
      </c>
      <c r="E344" s="438" t="s">
        <v>1658</v>
      </c>
      <c r="F344" s="438"/>
      <c r="G344" s="438"/>
      <c r="H344" s="599"/>
      <c r="I344" s="406" t="s">
        <v>740</v>
      </c>
      <c r="J344" s="438"/>
      <c r="K344" s="600">
        <f>'ПРИЛ №3'!$G$145</f>
        <v>2657</v>
      </c>
      <c r="L344" s="958"/>
      <c r="M344" s="540">
        <f t="shared" si="9"/>
        <v>2657</v>
      </c>
    </row>
    <row r="345" spans="1:13" s="567" customFormat="1" ht="14.25" customHeight="1">
      <c r="A345" s="522"/>
      <c r="B345" s="596" t="s">
        <v>558</v>
      </c>
      <c r="C345" s="582"/>
      <c r="D345" s="581"/>
      <c r="E345" s="581"/>
      <c r="F345" s="581"/>
      <c r="G345" s="581"/>
      <c r="H345" s="583"/>
      <c r="I345" s="581"/>
      <c r="J345" s="581"/>
      <c r="K345" s="584">
        <f>SUM(K338:K344)</f>
        <v>37490</v>
      </c>
      <c r="L345" s="584">
        <f>SUM(L338:L344)</f>
        <v>0</v>
      </c>
      <c r="M345" s="584">
        <f>SUM(M338:M344)</f>
        <v>37490</v>
      </c>
    </row>
    <row r="346" spans="1:13" s="551" customFormat="1" ht="18" customHeight="1">
      <c r="A346" s="522">
        <v>1</v>
      </c>
      <c r="B346" s="543" t="s">
        <v>991</v>
      </c>
      <c r="C346" s="598" t="s">
        <v>203</v>
      </c>
      <c r="D346" s="438" t="s">
        <v>1425</v>
      </c>
      <c r="E346" s="406" t="s">
        <v>1628</v>
      </c>
      <c r="F346" s="890"/>
      <c r="G346" s="890"/>
      <c r="H346" s="608"/>
      <c r="I346" s="543" t="s">
        <v>541</v>
      </c>
      <c r="J346" s="890"/>
      <c r="K346" s="580">
        <f>'ПРИЛ №3'!G244</f>
        <v>14458</v>
      </c>
      <c r="L346" s="1220"/>
      <c r="M346" s="540">
        <f t="shared" si="9"/>
        <v>14458</v>
      </c>
    </row>
    <row r="347" spans="1:13" s="567" customFormat="1" ht="27.75" customHeight="1">
      <c r="A347" s="522">
        <v>2</v>
      </c>
      <c r="B347" s="406" t="s">
        <v>1011</v>
      </c>
      <c r="C347" s="598" t="s">
        <v>203</v>
      </c>
      <c r="D347" s="438" t="s">
        <v>944</v>
      </c>
      <c r="E347" s="406" t="s">
        <v>1628</v>
      </c>
      <c r="F347" s="581"/>
      <c r="G347" s="581"/>
      <c r="H347" s="583"/>
      <c r="I347" s="245" t="s">
        <v>541</v>
      </c>
      <c r="J347" s="581"/>
      <c r="K347" s="580">
        <f>'ПРИЛ №3'!G253</f>
        <v>23280</v>
      </c>
      <c r="L347" s="953"/>
      <c r="M347" s="540">
        <f t="shared" si="9"/>
        <v>23280</v>
      </c>
    </row>
    <row r="348" spans="1:13" s="567" customFormat="1" ht="17.25" customHeight="1">
      <c r="A348" s="522"/>
      <c r="B348" s="596" t="s">
        <v>382</v>
      </c>
      <c r="C348" s="582"/>
      <c r="D348" s="581"/>
      <c r="E348" s="581"/>
      <c r="F348" s="581"/>
      <c r="G348" s="581"/>
      <c r="H348" s="583"/>
      <c r="I348" s="581"/>
      <c r="J348" s="581"/>
      <c r="K348" s="584">
        <f>SUM(K346:K347)</f>
        <v>37738</v>
      </c>
      <c r="L348" s="584">
        <f>SUM(L346:L347)</f>
        <v>0</v>
      </c>
      <c r="M348" s="584">
        <f>SUM(M346:M347)</f>
        <v>37738</v>
      </c>
    </row>
    <row r="349" spans="1:13" ht="29.25" customHeight="1">
      <c r="A349" s="522">
        <v>3</v>
      </c>
      <c r="B349" s="264" t="s">
        <v>1887</v>
      </c>
      <c r="C349" s="560" t="s">
        <v>204</v>
      </c>
      <c r="D349" s="406" t="s">
        <v>1424</v>
      </c>
      <c r="E349" s="406" t="s">
        <v>1628</v>
      </c>
      <c r="F349" s="406"/>
      <c r="G349" s="406"/>
      <c r="H349" s="561"/>
      <c r="I349" s="406" t="s">
        <v>541</v>
      </c>
      <c r="J349" s="406"/>
      <c r="K349" s="580">
        <f>'ПРИЛ №3'!G269</f>
        <v>16923</v>
      </c>
      <c r="L349" s="436"/>
      <c r="M349" s="540">
        <f t="shared" si="9"/>
        <v>16923</v>
      </c>
    </row>
    <row r="350" spans="1:13" s="567" customFormat="1" ht="15.75" customHeight="1">
      <c r="A350" s="522"/>
      <c r="B350" s="596" t="s">
        <v>876</v>
      </c>
      <c r="C350" s="582"/>
      <c r="D350" s="581"/>
      <c r="E350" s="581"/>
      <c r="F350" s="581"/>
      <c r="G350" s="581"/>
      <c r="H350" s="583"/>
      <c r="I350" s="581"/>
      <c r="J350" s="581"/>
      <c r="K350" s="584">
        <f>SUM(K349)</f>
        <v>16923</v>
      </c>
      <c r="L350" s="584">
        <f>SUM(L349)</f>
        <v>0</v>
      </c>
      <c r="M350" s="584">
        <f>SUM(M349)</f>
        <v>16923</v>
      </c>
    </row>
    <row r="351" spans="1:13" s="551" customFormat="1" ht="15.75" customHeight="1">
      <c r="A351" s="562">
        <v>1</v>
      </c>
      <c r="B351" s="406" t="str">
        <f>'ПРИЛ №3'!C277</f>
        <v>Л/а. Соревнования Русская зима. Москва</v>
      </c>
      <c r="C351" s="593" t="s">
        <v>205</v>
      </c>
      <c r="D351" s="406" t="s">
        <v>1627</v>
      </c>
      <c r="E351" s="404" t="s">
        <v>492</v>
      </c>
      <c r="F351" s="1215"/>
      <c r="G351" s="1215"/>
      <c r="H351" s="876"/>
      <c r="I351" s="404" t="s">
        <v>541</v>
      </c>
      <c r="J351" s="1215"/>
      <c r="K351" s="595">
        <f>'ПРИЛ №3'!G277</f>
        <v>2730</v>
      </c>
      <c r="L351" s="1216"/>
      <c r="M351" s="540">
        <f t="shared" si="9"/>
        <v>2730</v>
      </c>
    </row>
    <row r="352" spans="1:13" ht="26.25" customHeight="1">
      <c r="A352" s="562">
        <v>2</v>
      </c>
      <c r="B352" s="406" t="s">
        <v>711</v>
      </c>
      <c r="C352" s="593" t="s">
        <v>205</v>
      </c>
      <c r="D352" s="406" t="s">
        <v>1627</v>
      </c>
      <c r="E352" s="404" t="s">
        <v>1212</v>
      </c>
      <c r="F352" s="404"/>
      <c r="G352" s="404"/>
      <c r="H352" s="594"/>
      <c r="I352" s="404" t="s">
        <v>541</v>
      </c>
      <c r="J352" s="404"/>
      <c r="K352" s="595">
        <f>'ПРИЛ №3'!G278</f>
        <v>7840</v>
      </c>
      <c r="L352" s="957"/>
      <c r="M352" s="540">
        <f t="shared" si="9"/>
        <v>7840</v>
      </c>
    </row>
    <row r="353" spans="1:13" ht="19.5" customHeight="1">
      <c r="A353" s="562">
        <v>3</v>
      </c>
      <c r="B353" s="406" t="s">
        <v>1307</v>
      </c>
      <c r="C353" s="593" t="s">
        <v>205</v>
      </c>
      <c r="D353" s="406" t="s">
        <v>1627</v>
      </c>
      <c r="E353" s="406" t="s">
        <v>1219</v>
      </c>
      <c r="F353" s="406"/>
      <c r="G353" s="406"/>
      <c r="H353" s="561"/>
      <c r="I353" s="404" t="s">
        <v>541</v>
      </c>
      <c r="J353" s="406"/>
      <c r="K353" s="580">
        <f>'ПРИЛ №3'!G279</f>
        <v>8760</v>
      </c>
      <c r="L353" s="436"/>
      <c r="M353" s="540">
        <f t="shared" si="9"/>
        <v>8760</v>
      </c>
    </row>
    <row r="354" spans="1:13" ht="27" customHeight="1">
      <c r="A354" s="562">
        <v>4</v>
      </c>
      <c r="B354" s="406" t="s">
        <v>1308</v>
      </c>
      <c r="C354" s="593" t="s">
        <v>205</v>
      </c>
      <c r="D354" s="406" t="s">
        <v>1627</v>
      </c>
      <c r="E354" s="406" t="s">
        <v>949</v>
      </c>
      <c r="F354" s="406"/>
      <c r="G354" s="406"/>
      <c r="H354" s="561"/>
      <c r="I354" s="404" t="s">
        <v>541</v>
      </c>
      <c r="J354" s="406"/>
      <c r="K354" s="580">
        <f>'ПРИЛ №3'!G280</f>
        <v>2580</v>
      </c>
      <c r="L354" s="436"/>
      <c r="M354" s="540">
        <f t="shared" si="9"/>
        <v>2580</v>
      </c>
    </row>
    <row r="355" spans="1:13" ht="18.75" customHeight="1">
      <c r="A355" s="562">
        <v>5</v>
      </c>
      <c r="B355" s="543" t="str">
        <f>'ПРИЛ №3'!C286</f>
        <v>Л/а.УТС Кисловодск</v>
      </c>
      <c r="C355" s="593" t="s">
        <v>205</v>
      </c>
      <c r="D355" s="406" t="s">
        <v>923</v>
      </c>
      <c r="E355" s="406" t="s">
        <v>492</v>
      </c>
      <c r="F355" s="406"/>
      <c r="G355" s="406"/>
      <c r="H355" s="561"/>
      <c r="I355" s="404" t="s">
        <v>541</v>
      </c>
      <c r="J355" s="406"/>
      <c r="K355" s="580">
        <f>'ПРИЛ №3'!$G$286</f>
        <v>19040</v>
      </c>
      <c r="L355" s="436"/>
      <c r="M355" s="540">
        <f t="shared" si="9"/>
        <v>19040</v>
      </c>
    </row>
    <row r="356" spans="1:13" ht="24" customHeight="1">
      <c r="A356" s="562">
        <v>6</v>
      </c>
      <c r="B356" s="438" t="s">
        <v>1508</v>
      </c>
      <c r="C356" s="593" t="s">
        <v>205</v>
      </c>
      <c r="D356" s="406" t="s">
        <v>925</v>
      </c>
      <c r="E356" s="406" t="s">
        <v>1218</v>
      </c>
      <c r="F356" s="406"/>
      <c r="G356" s="406"/>
      <c r="H356" s="561"/>
      <c r="I356" s="404" t="s">
        <v>541</v>
      </c>
      <c r="J356" s="406"/>
      <c r="K356" s="580">
        <f>'ПРИЛ №3'!$G$302</f>
        <v>81930</v>
      </c>
      <c r="L356" s="436"/>
      <c r="M356" s="540">
        <f t="shared" si="9"/>
        <v>81930</v>
      </c>
    </row>
    <row r="357" spans="1:13" ht="24.75" customHeight="1">
      <c r="A357" s="562">
        <v>7</v>
      </c>
      <c r="B357" s="406" t="s">
        <v>1509</v>
      </c>
      <c r="C357" s="593" t="s">
        <v>205</v>
      </c>
      <c r="D357" s="406" t="s">
        <v>1425</v>
      </c>
      <c r="E357" s="438" t="s">
        <v>948</v>
      </c>
      <c r="F357" s="438"/>
      <c r="G357" s="438"/>
      <c r="H357" s="599"/>
      <c r="I357" s="404" t="s">
        <v>541</v>
      </c>
      <c r="J357" s="438"/>
      <c r="K357" s="600">
        <f>'ПРИЛ №3'!G312</f>
        <v>4000</v>
      </c>
      <c r="L357" s="958"/>
      <c r="M357" s="540">
        <f t="shared" si="9"/>
        <v>4000</v>
      </c>
    </row>
    <row r="358" spans="1:13" ht="28.5" customHeight="1">
      <c r="A358" s="562">
        <v>8</v>
      </c>
      <c r="B358" s="438" t="s">
        <v>1510</v>
      </c>
      <c r="C358" s="593" t="s">
        <v>205</v>
      </c>
      <c r="D358" s="406" t="s">
        <v>1425</v>
      </c>
      <c r="E358" s="438" t="s">
        <v>948</v>
      </c>
      <c r="F358" s="438"/>
      <c r="G358" s="438"/>
      <c r="H358" s="599"/>
      <c r="I358" s="404" t="s">
        <v>541</v>
      </c>
      <c r="J358" s="438"/>
      <c r="K358" s="600">
        <f>'ПРИЛ №3'!G313</f>
        <v>4000</v>
      </c>
      <c r="L358" s="958"/>
      <c r="M358" s="540">
        <f t="shared" si="9"/>
        <v>4000</v>
      </c>
    </row>
    <row r="359" spans="1:13" ht="23.25" customHeight="1">
      <c r="A359" s="562">
        <v>9</v>
      </c>
      <c r="B359" s="406" t="s">
        <v>1114</v>
      </c>
      <c r="C359" s="593" t="s">
        <v>205</v>
      </c>
      <c r="D359" s="406" t="s">
        <v>1425</v>
      </c>
      <c r="E359" s="438" t="s">
        <v>1218</v>
      </c>
      <c r="F359" s="438"/>
      <c r="G359" s="438"/>
      <c r="H359" s="599"/>
      <c r="I359" s="404" t="s">
        <v>541</v>
      </c>
      <c r="J359" s="438"/>
      <c r="K359" s="600">
        <f>'ПРИЛ №3'!G314</f>
        <v>42080</v>
      </c>
      <c r="L359" s="958"/>
      <c r="M359" s="540">
        <f t="shared" si="9"/>
        <v>42080</v>
      </c>
    </row>
    <row r="360" spans="1:13" ht="23.25" customHeight="1">
      <c r="A360" s="562">
        <v>10</v>
      </c>
      <c r="B360" s="401" t="s">
        <v>1511</v>
      </c>
      <c r="C360" s="593" t="s">
        <v>205</v>
      </c>
      <c r="D360" s="406" t="s">
        <v>1425</v>
      </c>
      <c r="E360" s="438" t="s">
        <v>1218</v>
      </c>
      <c r="F360" s="438"/>
      <c r="G360" s="438"/>
      <c r="H360" s="599"/>
      <c r="I360" s="404" t="s">
        <v>541</v>
      </c>
      <c r="J360" s="438"/>
      <c r="K360" s="600">
        <f>'ПРИЛ №3'!G315</f>
        <v>28780</v>
      </c>
      <c r="L360" s="958"/>
      <c r="M360" s="540">
        <f t="shared" si="9"/>
        <v>28780</v>
      </c>
    </row>
    <row r="361" spans="1:13" ht="30" customHeight="1">
      <c r="A361" s="562">
        <v>11</v>
      </c>
      <c r="B361" s="406" t="s">
        <v>455</v>
      </c>
      <c r="C361" s="593" t="s">
        <v>205</v>
      </c>
      <c r="D361" s="406" t="s">
        <v>1649</v>
      </c>
      <c r="E361" s="438" t="s">
        <v>506</v>
      </c>
      <c r="F361" s="438"/>
      <c r="G361" s="438"/>
      <c r="H361" s="599"/>
      <c r="I361" s="404" t="s">
        <v>541</v>
      </c>
      <c r="J361" s="438"/>
      <c r="K361" s="600">
        <f>'ПРИЛ №3'!G324</f>
        <v>21040</v>
      </c>
      <c r="L361" s="958"/>
      <c r="M361" s="540">
        <f t="shared" si="9"/>
        <v>21040</v>
      </c>
    </row>
    <row r="362" spans="1:13" ht="26.25" customHeight="1">
      <c r="A362" s="562">
        <v>13</v>
      </c>
      <c r="B362" s="438" t="s">
        <v>1185</v>
      </c>
      <c r="C362" s="593" t="s">
        <v>205</v>
      </c>
      <c r="D362" s="406" t="s">
        <v>1650</v>
      </c>
      <c r="E362" s="438" t="s">
        <v>1212</v>
      </c>
      <c r="F362" s="438"/>
      <c r="G362" s="438"/>
      <c r="H362" s="599"/>
      <c r="I362" s="404" t="s">
        <v>541</v>
      </c>
      <c r="J362" s="438"/>
      <c r="K362" s="600">
        <f>'ПРИЛ №3'!G333</f>
        <v>10800</v>
      </c>
      <c r="L362" s="958"/>
      <c r="M362" s="540">
        <f t="shared" si="9"/>
        <v>10800</v>
      </c>
    </row>
    <row r="363" spans="1:13" ht="29.25" customHeight="1">
      <c r="A363" s="562">
        <v>14</v>
      </c>
      <c r="B363" s="406" t="s">
        <v>1186</v>
      </c>
      <c r="C363" s="593" t="s">
        <v>205</v>
      </c>
      <c r="D363" s="406" t="s">
        <v>332</v>
      </c>
      <c r="E363" s="438" t="s">
        <v>948</v>
      </c>
      <c r="F363" s="438"/>
      <c r="G363" s="438"/>
      <c r="H363" s="599"/>
      <c r="I363" s="404" t="s">
        <v>541</v>
      </c>
      <c r="J363" s="438"/>
      <c r="K363" s="600">
        <f>'ПРИЛ №3'!G343</f>
        <v>4000</v>
      </c>
      <c r="L363" s="958"/>
      <c r="M363" s="540">
        <f t="shared" si="9"/>
        <v>4000</v>
      </c>
    </row>
    <row r="364" spans="1:13" ht="33" customHeight="1">
      <c r="A364" s="562">
        <v>15</v>
      </c>
      <c r="B364" s="870" t="str">
        <f>'ПРИЛ №3'!C368</f>
        <v>Всероссийский семинар по легкой атлетике г.Москва</v>
      </c>
      <c r="C364" s="593" t="s">
        <v>205</v>
      </c>
      <c r="D364" s="406" t="s">
        <v>1424</v>
      </c>
      <c r="E364" s="438" t="s">
        <v>492</v>
      </c>
      <c r="F364" s="438"/>
      <c r="G364" s="438"/>
      <c r="H364" s="599"/>
      <c r="I364" s="404" t="s">
        <v>541</v>
      </c>
      <c r="J364" s="438"/>
      <c r="K364" s="600">
        <f>'ПРИЛ №3'!G368</f>
        <v>16950</v>
      </c>
      <c r="L364" s="958"/>
      <c r="M364" s="540">
        <f t="shared" si="9"/>
        <v>16950</v>
      </c>
    </row>
    <row r="365" spans="1:13" ht="33.75" customHeight="1">
      <c r="A365" s="562">
        <v>16</v>
      </c>
      <c r="B365" s="870" t="str">
        <f>'ПРИЛ №3'!C369</f>
        <v>Конференция по легкой атлетике г.Новосибирск</v>
      </c>
      <c r="C365" s="593" t="s">
        <v>205</v>
      </c>
      <c r="D365" s="406" t="s">
        <v>1424</v>
      </c>
      <c r="E365" s="438" t="s">
        <v>1212</v>
      </c>
      <c r="F365" s="438"/>
      <c r="G365" s="438"/>
      <c r="H365" s="599"/>
      <c r="I365" s="404" t="s">
        <v>541</v>
      </c>
      <c r="J365" s="438"/>
      <c r="K365" s="600">
        <f>'ПРИЛ №3'!G369</f>
        <v>9000</v>
      </c>
      <c r="L365" s="958"/>
      <c r="M365" s="540">
        <f t="shared" si="9"/>
        <v>9000</v>
      </c>
    </row>
    <row r="366" spans="1:13" ht="18.75" customHeight="1">
      <c r="A366" s="562">
        <v>17</v>
      </c>
      <c r="B366" s="870" t="str">
        <f>'ПРИЛ №3'!C385</f>
        <v>Чемпионат Кузбаса по легкой атлетике</v>
      </c>
      <c r="C366" s="593" t="s">
        <v>205</v>
      </c>
      <c r="D366" s="406" t="s">
        <v>1424</v>
      </c>
      <c r="E366" s="438" t="s">
        <v>1219</v>
      </c>
      <c r="F366" s="438"/>
      <c r="G366" s="438"/>
      <c r="H366" s="599"/>
      <c r="I366" s="404" t="s">
        <v>541</v>
      </c>
      <c r="J366" s="438"/>
      <c r="K366" s="600">
        <f>'ПРИЛ №3'!G385</f>
        <v>16900</v>
      </c>
      <c r="L366" s="958"/>
      <c r="M366" s="540">
        <f t="shared" si="9"/>
        <v>16900</v>
      </c>
    </row>
    <row r="367" spans="1:13" ht="30" customHeight="1">
      <c r="A367" s="562">
        <v>18</v>
      </c>
      <c r="B367" s="406" t="s">
        <v>1745</v>
      </c>
      <c r="C367" s="593" t="s">
        <v>205</v>
      </c>
      <c r="D367" s="406" t="s">
        <v>1424</v>
      </c>
      <c r="E367" s="438" t="s">
        <v>1219</v>
      </c>
      <c r="F367" s="438"/>
      <c r="G367" s="438"/>
      <c r="H367" s="599"/>
      <c r="I367" s="404" t="s">
        <v>541</v>
      </c>
      <c r="J367" s="438"/>
      <c r="K367" s="600">
        <f>'ПРИЛ №3'!$G$382</f>
        <v>21690</v>
      </c>
      <c r="L367" s="958"/>
      <c r="M367" s="540">
        <f t="shared" si="9"/>
        <v>21690</v>
      </c>
    </row>
    <row r="368" spans="1:13" s="567" customFormat="1" ht="19.5" customHeight="1" thickBot="1">
      <c r="A368" s="601"/>
      <c r="B368" s="602" t="s">
        <v>560</v>
      </c>
      <c r="C368" s="603"/>
      <c r="D368" s="875"/>
      <c r="E368" s="604"/>
      <c r="F368" s="604"/>
      <c r="G368" s="604"/>
      <c r="H368" s="605"/>
      <c r="I368" s="604"/>
      <c r="J368" s="604"/>
      <c r="K368" s="606">
        <f>SUM(K351:K367)</f>
        <v>302120</v>
      </c>
      <c r="L368" s="606">
        <f>SUM(L351:L367)</f>
        <v>0</v>
      </c>
      <c r="M368" s="606">
        <f>SUM(M351:M367)</f>
        <v>302120</v>
      </c>
    </row>
    <row r="369" spans="1:13" s="574" customFormat="1" ht="17.25" customHeight="1" thickBot="1">
      <c r="A369" s="568"/>
      <c r="B369" s="569" t="s">
        <v>56</v>
      </c>
      <c r="C369" s="570"/>
      <c r="D369" s="571"/>
      <c r="E369" s="571"/>
      <c r="F369" s="571"/>
      <c r="G369" s="571"/>
      <c r="H369" s="572"/>
      <c r="I369" s="571"/>
      <c r="J369" s="571"/>
      <c r="K369" s="573">
        <f>SUM(K337,K345,K348,K350,K368)</f>
        <v>403264</v>
      </c>
      <c r="L369" s="573">
        <f>SUM(L337,L345,L348,L350,L368)</f>
        <v>0</v>
      </c>
      <c r="M369" s="573">
        <f>SUM(M337,M345,M348,M350,M368)</f>
        <v>403264</v>
      </c>
    </row>
    <row r="370" spans="1:13" s="574" customFormat="1" ht="12">
      <c r="A370" s="575"/>
      <c r="B370" s="524"/>
      <c r="C370" s="576"/>
      <c r="D370" s="577"/>
      <c r="E370" s="577"/>
      <c r="F370" s="577"/>
      <c r="G370" s="577"/>
      <c r="H370" s="578"/>
      <c r="I370" s="577"/>
      <c r="J370" s="577"/>
      <c r="K370" s="579"/>
      <c r="L370" s="577"/>
      <c r="M370" s="540"/>
    </row>
    <row r="371" spans="1:13" ht="12.75" thickBot="1">
      <c r="A371" s="551" t="s">
        <v>1026</v>
      </c>
      <c r="M371" s="540"/>
    </row>
    <row r="372" spans="1:13" ht="14.25" customHeight="1" thickBot="1">
      <c r="A372" s="2047" t="s">
        <v>905</v>
      </c>
      <c r="B372" s="2049" t="s">
        <v>317</v>
      </c>
      <c r="C372" s="2051" t="s">
        <v>1625</v>
      </c>
      <c r="D372" s="549" t="s">
        <v>362</v>
      </c>
      <c r="E372" s="555" t="s">
        <v>363</v>
      </c>
      <c r="F372" s="2045" t="s">
        <v>906</v>
      </c>
      <c r="G372" s="2045" t="s">
        <v>907</v>
      </c>
      <c r="H372" s="2045" t="s">
        <v>359</v>
      </c>
      <c r="I372" s="2045" t="s">
        <v>360</v>
      </c>
      <c r="J372" s="2045" t="s">
        <v>775</v>
      </c>
      <c r="K372" s="2057" t="s">
        <v>366</v>
      </c>
      <c r="L372" s="2058"/>
      <c r="M372" s="540"/>
    </row>
    <row r="373" spans="1:13" ht="29.25" customHeight="1" thickBot="1">
      <c r="A373" s="2048"/>
      <c r="B373" s="2050"/>
      <c r="C373" s="2052"/>
      <c r="D373" s="550" t="s">
        <v>361</v>
      </c>
      <c r="E373" s="556" t="s">
        <v>361</v>
      </c>
      <c r="F373" s="2046"/>
      <c r="G373" s="2046"/>
      <c r="H373" s="2046"/>
      <c r="I373" s="2046"/>
      <c r="J373" s="2046"/>
      <c r="K373" s="557" t="s">
        <v>364</v>
      </c>
      <c r="L373" s="951" t="s">
        <v>365</v>
      </c>
      <c r="M373" s="540"/>
    </row>
    <row r="374" spans="1:13" ht="18" customHeight="1">
      <c r="A374" s="876">
        <v>1</v>
      </c>
      <c r="B374" s="882" t="s">
        <v>1175</v>
      </c>
      <c r="C374" s="593" t="s">
        <v>1378</v>
      </c>
      <c r="D374" s="594" t="s">
        <v>923</v>
      </c>
      <c r="E374" s="657" t="s">
        <v>1628</v>
      </c>
      <c r="F374" s="594"/>
      <c r="G374" s="594"/>
      <c r="H374" s="594"/>
      <c r="I374" s="545" t="s">
        <v>1363</v>
      </c>
      <c r="J374" s="594"/>
      <c r="K374" s="607">
        <f>'ПРИЛ №3'!G23</f>
        <v>1735</v>
      </c>
      <c r="L374" s="955"/>
      <c r="M374" s="540">
        <f t="shared" si="9"/>
        <v>1735</v>
      </c>
    </row>
    <row r="375" spans="1:13" ht="15" customHeight="1">
      <c r="A375" s="608">
        <v>2</v>
      </c>
      <c r="B375" s="885" t="s">
        <v>1176</v>
      </c>
      <c r="C375" s="560" t="s">
        <v>1378</v>
      </c>
      <c r="D375" s="870" t="s">
        <v>924</v>
      </c>
      <c r="E375" s="870" t="s">
        <v>1628</v>
      </c>
      <c r="F375" s="561"/>
      <c r="G375" s="561"/>
      <c r="H375" s="561"/>
      <c r="I375" s="545" t="s">
        <v>1363</v>
      </c>
      <c r="J375" s="561"/>
      <c r="K375" s="538">
        <f>'ПРИЛ №3'!G25</f>
        <v>1735</v>
      </c>
      <c r="L375" s="956"/>
      <c r="M375" s="540">
        <f t="shared" si="9"/>
        <v>1735</v>
      </c>
    </row>
    <row r="376" spans="1:13" ht="12">
      <c r="A376" s="608"/>
      <c r="B376" s="596" t="s">
        <v>497</v>
      </c>
      <c r="C376" s="560"/>
      <c r="D376" s="561"/>
      <c r="E376" s="561"/>
      <c r="F376" s="561"/>
      <c r="G376" s="561"/>
      <c r="H376" s="561"/>
      <c r="I376" s="561"/>
      <c r="J376" s="561"/>
      <c r="K376" s="886">
        <f>SUM(K374:K375)</f>
        <v>3470</v>
      </c>
      <c r="L376" s="886">
        <f>SUM(L374:L375)</f>
        <v>0</v>
      </c>
      <c r="M376" s="886">
        <f>SUM(M374:M375)</f>
        <v>3470</v>
      </c>
    </row>
    <row r="377" spans="1:13" ht="24" customHeight="1">
      <c r="A377" s="522">
        <v>1</v>
      </c>
      <c r="B377" s="406" t="s">
        <v>310</v>
      </c>
      <c r="C377" s="560" t="s">
        <v>1126</v>
      </c>
      <c r="D377" s="406" t="s">
        <v>923</v>
      </c>
      <c r="E377" s="406" t="s">
        <v>1628</v>
      </c>
      <c r="F377" s="406"/>
      <c r="G377" s="406"/>
      <c r="H377" s="561"/>
      <c r="I377" s="543" t="s">
        <v>541</v>
      </c>
      <c r="J377" s="406"/>
      <c r="K377" s="580">
        <f>'ПРИЛ №3'!$G$96</f>
        <v>44979</v>
      </c>
      <c r="L377" s="436"/>
      <c r="M377" s="540">
        <f t="shared" si="9"/>
        <v>44979</v>
      </c>
    </row>
    <row r="378" spans="1:13" ht="15" customHeight="1">
      <c r="A378" s="640">
        <v>2</v>
      </c>
      <c r="B378" s="264" t="s">
        <v>271</v>
      </c>
      <c r="C378" s="593" t="s">
        <v>1126</v>
      </c>
      <c r="D378" s="404" t="s">
        <v>924</v>
      </c>
      <c r="E378" s="406" t="s">
        <v>1628</v>
      </c>
      <c r="F378" s="404"/>
      <c r="G378" s="404"/>
      <c r="H378" s="594"/>
      <c r="I378" s="406" t="s">
        <v>541</v>
      </c>
      <c r="J378" s="404"/>
      <c r="K378" s="595">
        <f>'ПРИЛ №3'!$G$111</f>
        <v>2700</v>
      </c>
      <c r="L378" s="957"/>
      <c r="M378" s="540">
        <f t="shared" si="9"/>
        <v>2700</v>
      </c>
    </row>
    <row r="379" spans="1:13" ht="15" customHeight="1">
      <c r="A379" s="639">
        <v>3</v>
      </c>
      <c r="B379" s="264" t="s">
        <v>674</v>
      </c>
      <c r="C379" s="560" t="s">
        <v>1126</v>
      </c>
      <c r="D379" s="404" t="s">
        <v>944</v>
      </c>
      <c r="E379" s="406" t="s">
        <v>1628</v>
      </c>
      <c r="F379" s="404"/>
      <c r="G379" s="404"/>
      <c r="H379" s="594"/>
      <c r="I379" s="406" t="s">
        <v>541</v>
      </c>
      <c r="J379" s="404"/>
      <c r="K379" s="595">
        <f>'ПРИЛ №3'!$G$171</f>
        <v>2700</v>
      </c>
      <c r="L379" s="957"/>
      <c r="M379" s="540">
        <f t="shared" si="9"/>
        <v>2700</v>
      </c>
    </row>
    <row r="380" spans="1:13" ht="15" customHeight="1">
      <c r="A380" s="640">
        <v>4</v>
      </c>
      <c r="B380" s="264" t="s">
        <v>1517</v>
      </c>
      <c r="C380" s="593" t="s">
        <v>1126</v>
      </c>
      <c r="D380" s="404" t="s">
        <v>1424</v>
      </c>
      <c r="E380" s="406" t="s">
        <v>1628</v>
      </c>
      <c r="F380" s="404"/>
      <c r="G380" s="404"/>
      <c r="H380" s="594"/>
      <c r="I380" s="406" t="s">
        <v>541</v>
      </c>
      <c r="J380" s="404"/>
      <c r="K380" s="595">
        <f>'ПРИЛ №3'!$G$191</f>
        <v>2700</v>
      </c>
      <c r="L380" s="957"/>
      <c r="M380" s="540">
        <f t="shared" si="9"/>
        <v>2700</v>
      </c>
    </row>
    <row r="381" spans="1:13" ht="21" customHeight="1">
      <c r="A381" s="562">
        <v>2</v>
      </c>
      <c r="B381" s="543" t="str">
        <f>'ПРИЛ №3'!C108</f>
        <v>Спортивный праздник "Лыжня здоровья"</v>
      </c>
      <c r="C381" s="560" t="s">
        <v>1126</v>
      </c>
      <c r="D381" s="404" t="s">
        <v>924</v>
      </c>
      <c r="E381" s="406" t="s">
        <v>1426</v>
      </c>
      <c r="F381" s="404"/>
      <c r="G381" s="404"/>
      <c r="H381" s="594"/>
      <c r="I381" s="406" t="s">
        <v>1052</v>
      </c>
      <c r="J381" s="404"/>
      <c r="K381" s="580">
        <f>'ПРИЛ №3'!$G$108</f>
        <v>2330</v>
      </c>
      <c r="L381" s="957"/>
      <c r="M381" s="540">
        <f t="shared" si="9"/>
        <v>2330</v>
      </c>
    </row>
    <row r="382" spans="1:13" ht="21.75" customHeight="1">
      <c r="A382" s="562">
        <v>3</v>
      </c>
      <c r="B382" s="264" t="s">
        <v>790</v>
      </c>
      <c r="C382" s="593" t="s">
        <v>1126</v>
      </c>
      <c r="D382" s="404" t="s">
        <v>1424</v>
      </c>
      <c r="E382" s="406" t="s">
        <v>1426</v>
      </c>
      <c r="F382" s="404"/>
      <c r="G382" s="404"/>
      <c r="H382" s="594"/>
      <c r="I382" s="264" t="s">
        <v>1052</v>
      </c>
      <c r="J382" s="404"/>
      <c r="K382" s="595">
        <f>'ПРИЛ №3'!$G$186</f>
        <v>1646</v>
      </c>
      <c r="L382" s="957"/>
      <c r="M382" s="540">
        <f t="shared" si="9"/>
        <v>1646</v>
      </c>
    </row>
    <row r="383" spans="1:13" ht="21.75" customHeight="1">
      <c r="A383" s="522">
        <v>1</v>
      </c>
      <c r="B383" s="264" t="s">
        <v>738</v>
      </c>
      <c r="C383" s="560" t="s">
        <v>1126</v>
      </c>
      <c r="D383" s="406" t="s">
        <v>924</v>
      </c>
      <c r="E383" s="406" t="s">
        <v>1658</v>
      </c>
      <c r="F383" s="406"/>
      <c r="G383" s="406"/>
      <c r="H383" s="561"/>
      <c r="I383" s="264" t="s">
        <v>740</v>
      </c>
      <c r="J383" s="406"/>
      <c r="K383" s="580">
        <f>'ПРИЛ №3'!G110</f>
        <v>3141</v>
      </c>
      <c r="L383" s="436"/>
      <c r="M383" s="540">
        <f>K383-L383</f>
        <v>3141</v>
      </c>
    </row>
    <row r="384" spans="1:13" ht="27.75" customHeight="1">
      <c r="A384" s="522">
        <v>2</v>
      </c>
      <c r="B384" s="264" t="s">
        <v>1830</v>
      </c>
      <c r="C384" s="593" t="s">
        <v>1126</v>
      </c>
      <c r="D384" s="406" t="s">
        <v>925</v>
      </c>
      <c r="E384" s="406" t="s">
        <v>1658</v>
      </c>
      <c r="F384" s="406"/>
      <c r="G384" s="406"/>
      <c r="H384" s="561"/>
      <c r="I384" s="264" t="s">
        <v>740</v>
      </c>
      <c r="J384" s="406"/>
      <c r="K384" s="580">
        <f>'ПРИЛ №3'!G121</f>
        <v>2468</v>
      </c>
      <c r="L384" s="436"/>
      <c r="M384" s="540">
        <f>K384-L384</f>
        <v>2468</v>
      </c>
    </row>
    <row r="385" spans="1:13" s="567" customFormat="1" ht="12">
      <c r="A385" s="522"/>
      <c r="B385" s="596" t="s">
        <v>558</v>
      </c>
      <c r="C385" s="582"/>
      <c r="D385" s="581"/>
      <c r="E385" s="581"/>
      <c r="F385" s="581" t="s">
        <v>318</v>
      </c>
      <c r="G385" s="581" t="s">
        <v>318</v>
      </c>
      <c r="H385" s="583"/>
      <c r="I385" s="581"/>
      <c r="J385" s="581"/>
      <c r="K385" s="584">
        <f>SUM(K377:K384)</f>
        <v>62664</v>
      </c>
      <c r="L385" s="584">
        <f>SUM(L377:L384)</f>
        <v>0</v>
      </c>
      <c r="M385" s="584">
        <f>SUM(M377:M384)</f>
        <v>62664</v>
      </c>
    </row>
    <row r="386" spans="1:13" s="567" customFormat="1" ht="24" customHeight="1">
      <c r="A386" s="562">
        <v>1</v>
      </c>
      <c r="B386" s="264" t="s">
        <v>1631</v>
      </c>
      <c r="C386" s="560" t="s">
        <v>1789</v>
      </c>
      <c r="D386" s="404" t="s">
        <v>1627</v>
      </c>
      <c r="E386" s="404" t="s">
        <v>1628</v>
      </c>
      <c r="F386" s="563"/>
      <c r="G386" s="563"/>
      <c r="H386" s="565"/>
      <c r="I386" s="245" t="s">
        <v>541</v>
      </c>
      <c r="J386" s="563"/>
      <c r="K386" s="580">
        <f>'ПРИЛ №3'!G199</f>
        <v>27000</v>
      </c>
      <c r="L386" s="1216"/>
      <c r="M386" s="540">
        <f>K386-L386</f>
        <v>27000</v>
      </c>
    </row>
    <row r="387" spans="1:13" s="567" customFormat="1" ht="12">
      <c r="A387" s="522"/>
      <c r="B387" s="596" t="s">
        <v>1880</v>
      </c>
      <c r="C387" s="582"/>
      <c r="D387" s="581"/>
      <c r="E387" s="581"/>
      <c r="F387" s="581"/>
      <c r="G387" s="581"/>
      <c r="H387" s="583"/>
      <c r="I387" s="581"/>
      <c r="J387" s="581"/>
      <c r="K387" s="584">
        <f>SUM(K386)</f>
        <v>27000</v>
      </c>
      <c r="L387" s="584">
        <f>SUM(L386)</f>
        <v>0</v>
      </c>
      <c r="M387" s="584">
        <f>SUM(M386)</f>
        <v>27000</v>
      </c>
    </row>
    <row r="388" spans="1:13" ht="23.25" customHeight="1">
      <c r="A388" s="562">
        <v>1</v>
      </c>
      <c r="B388" s="238" t="s">
        <v>1881</v>
      </c>
      <c r="C388" s="593" t="s">
        <v>1790</v>
      </c>
      <c r="D388" s="404" t="s">
        <v>923</v>
      </c>
      <c r="E388" s="404" t="s">
        <v>1628</v>
      </c>
      <c r="F388" s="404"/>
      <c r="G388" s="404"/>
      <c r="H388" s="594"/>
      <c r="I388" s="404" t="s">
        <v>541</v>
      </c>
      <c r="J388" s="404"/>
      <c r="K388" s="595">
        <f>'ПРИЛ №3'!$G$222</f>
        <v>39366</v>
      </c>
      <c r="L388" s="957"/>
      <c r="M388" s="540">
        <f>K388-L388</f>
        <v>39366</v>
      </c>
    </row>
    <row r="389" spans="1:13" s="567" customFormat="1" ht="12">
      <c r="A389" s="522"/>
      <c r="B389" s="596" t="s">
        <v>333</v>
      </c>
      <c r="C389" s="582"/>
      <c r="D389" s="581"/>
      <c r="E389" s="581"/>
      <c r="F389" s="581"/>
      <c r="G389" s="581"/>
      <c r="H389" s="583"/>
      <c r="I389" s="581"/>
      <c r="J389" s="581"/>
      <c r="K389" s="584">
        <f>SUM(K388:K388)</f>
        <v>39366</v>
      </c>
      <c r="L389" s="584">
        <f>SUM(L388:L388)</f>
        <v>0</v>
      </c>
      <c r="M389" s="584">
        <f>SUM(M388:M388)</f>
        <v>39366</v>
      </c>
    </row>
    <row r="390" spans="1:13" ht="20.25" customHeight="1">
      <c r="A390" s="522">
        <v>1</v>
      </c>
      <c r="B390" s="245" t="s">
        <v>1740</v>
      </c>
      <c r="C390" s="560" t="s">
        <v>203</v>
      </c>
      <c r="D390" s="406" t="s">
        <v>1627</v>
      </c>
      <c r="E390" s="406"/>
      <c r="F390" s="406"/>
      <c r="G390" s="406"/>
      <c r="H390" s="561"/>
      <c r="I390" s="264" t="s">
        <v>1322</v>
      </c>
      <c r="J390" s="406"/>
      <c r="K390" s="580">
        <f>'ПРИЛ №3'!$G$231</f>
        <v>23846</v>
      </c>
      <c r="L390" s="436"/>
      <c r="M390" s="540">
        <f>K390-L390</f>
        <v>23846</v>
      </c>
    </row>
    <row r="391" spans="1:13" s="567" customFormat="1" ht="16.5" customHeight="1">
      <c r="A391" s="522"/>
      <c r="B391" s="596" t="s">
        <v>382</v>
      </c>
      <c r="C391" s="582"/>
      <c r="D391" s="581"/>
      <c r="E391" s="581"/>
      <c r="F391" s="581"/>
      <c r="G391" s="581"/>
      <c r="H391" s="583"/>
      <c r="I391" s="581"/>
      <c r="J391" s="581"/>
      <c r="K391" s="584">
        <f>SUM(K390)</f>
        <v>23846</v>
      </c>
      <c r="L391" s="584">
        <f>SUM(L390)</f>
        <v>0</v>
      </c>
      <c r="M391" s="584">
        <f>SUM(M390)</f>
        <v>23846</v>
      </c>
    </row>
    <row r="392" spans="1:13" ht="20.25" customHeight="1">
      <c r="A392" s="522">
        <v>2</v>
      </c>
      <c r="B392" s="245" t="s">
        <v>1010</v>
      </c>
      <c r="C392" s="560" t="s">
        <v>204</v>
      </c>
      <c r="D392" s="406" t="s">
        <v>1424</v>
      </c>
      <c r="E392" s="406" t="s">
        <v>1628</v>
      </c>
      <c r="F392" s="406"/>
      <c r="G392" s="406"/>
      <c r="H392" s="561"/>
      <c r="I392" s="245" t="s">
        <v>541</v>
      </c>
      <c r="J392" s="406"/>
      <c r="K392" s="580">
        <f>'ПРИЛ №3'!$G$270</f>
        <v>14071</v>
      </c>
      <c r="L392" s="436"/>
      <c r="M392" s="540">
        <f>K392-L392</f>
        <v>14071</v>
      </c>
    </row>
    <row r="393" spans="1:13" s="567" customFormat="1" ht="16.5" customHeight="1">
      <c r="A393" s="522"/>
      <c r="B393" s="596" t="s">
        <v>876</v>
      </c>
      <c r="C393" s="582"/>
      <c r="D393" s="581"/>
      <c r="E393" s="581"/>
      <c r="F393" s="581"/>
      <c r="G393" s="581"/>
      <c r="H393" s="583"/>
      <c r="I393" s="581"/>
      <c r="J393" s="581"/>
      <c r="K393" s="584">
        <f>SUM(K392:K392)</f>
        <v>14071</v>
      </c>
      <c r="L393" s="584">
        <f>SUM(L392:L392)</f>
        <v>0</v>
      </c>
      <c r="M393" s="584">
        <f>SUM(M392:M392)</f>
        <v>14071</v>
      </c>
    </row>
    <row r="394" spans="1:13" ht="18.75" customHeight="1">
      <c r="A394" s="562">
        <v>3</v>
      </c>
      <c r="B394" s="406" t="s">
        <v>1405</v>
      </c>
      <c r="C394" s="593" t="s">
        <v>205</v>
      </c>
      <c r="D394" s="406" t="s">
        <v>923</v>
      </c>
      <c r="E394" s="406" t="s">
        <v>1331</v>
      </c>
      <c r="F394" s="406"/>
      <c r="G394" s="406"/>
      <c r="H394" s="561"/>
      <c r="I394" s="406" t="s">
        <v>541</v>
      </c>
      <c r="J394" s="406"/>
      <c r="K394" s="580">
        <f>'ПРИЛ №3'!$G$287</f>
        <v>24480</v>
      </c>
      <c r="L394" s="436"/>
      <c r="M394" s="540">
        <f aca="true" t="shared" si="10" ref="M394:M401">K394-L394</f>
        <v>24480</v>
      </c>
    </row>
    <row r="395" spans="1:13" ht="18.75" customHeight="1">
      <c r="A395" s="562">
        <v>4</v>
      </c>
      <c r="B395" s="406" t="str">
        <f>'ПРИЛ №3'!C298</f>
        <v>Конференция по лыжам</v>
      </c>
      <c r="C395" s="593" t="s">
        <v>205</v>
      </c>
      <c r="D395" s="406" t="s">
        <v>925</v>
      </c>
      <c r="E395" s="406"/>
      <c r="F395" s="406"/>
      <c r="G395" s="406"/>
      <c r="H395" s="561"/>
      <c r="I395" s="406"/>
      <c r="J395" s="406"/>
      <c r="K395" s="580">
        <f>'ПРИЛ №3'!$G$298</f>
        <v>23200</v>
      </c>
      <c r="L395" s="436"/>
      <c r="M395" s="540">
        <f t="shared" si="10"/>
        <v>23200</v>
      </c>
    </row>
    <row r="396" spans="1:13" ht="22.5" customHeight="1">
      <c r="A396" s="562">
        <v>5</v>
      </c>
      <c r="B396" s="406" t="s">
        <v>1380</v>
      </c>
      <c r="C396" s="560" t="s">
        <v>205</v>
      </c>
      <c r="D396" s="406" t="s">
        <v>925</v>
      </c>
      <c r="E396" s="406" t="s">
        <v>1211</v>
      </c>
      <c r="F396" s="406"/>
      <c r="G396" s="406"/>
      <c r="H396" s="561"/>
      <c r="I396" s="406" t="s">
        <v>541</v>
      </c>
      <c r="J396" s="406"/>
      <c r="K396" s="580">
        <f>'ПРИЛ №3'!$G$303</f>
        <v>9840</v>
      </c>
      <c r="L396" s="436"/>
      <c r="M396" s="540">
        <f t="shared" si="10"/>
        <v>9840</v>
      </c>
    </row>
    <row r="397" spans="1:13" ht="18.75" customHeight="1">
      <c r="A397" s="562">
        <v>6</v>
      </c>
      <c r="B397" s="406" t="s">
        <v>482</v>
      </c>
      <c r="C397" s="593" t="s">
        <v>205</v>
      </c>
      <c r="D397" s="406" t="s">
        <v>1651</v>
      </c>
      <c r="E397" s="406" t="s">
        <v>1212</v>
      </c>
      <c r="F397" s="406"/>
      <c r="G397" s="406"/>
      <c r="H397" s="561"/>
      <c r="I397" s="406" t="s">
        <v>541</v>
      </c>
      <c r="J397" s="406"/>
      <c r="K397" s="580">
        <f>'ПРИЛ №3'!G334</f>
        <v>39500</v>
      </c>
      <c r="L397" s="436"/>
      <c r="M397" s="540">
        <f t="shared" si="10"/>
        <v>39500</v>
      </c>
    </row>
    <row r="398" spans="1:13" ht="20.25" customHeight="1">
      <c r="A398" s="562">
        <v>7</v>
      </c>
      <c r="B398" s="406" t="s">
        <v>999</v>
      </c>
      <c r="C398" s="560" t="s">
        <v>205</v>
      </c>
      <c r="D398" s="406" t="s">
        <v>1650</v>
      </c>
      <c r="E398" s="404" t="s">
        <v>509</v>
      </c>
      <c r="F398" s="406"/>
      <c r="G398" s="406"/>
      <c r="H398" s="561"/>
      <c r="I398" s="406" t="s">
        <v>541</v>
      </c>
      <c r="J398" s="406"/>
      <c r="K398" s="580">
        <f>'ПРИЛ №3'!G335</f>
        <v>50000</v>
      </c>
      <c r="L398" s="436"/>
      <c r="M398" s="540">
        <f t="shared" si="10"/>
        <v>50000</v>
      </c>
    </row>
    <row r="399" spans="1:13" ht="20.25" customHeight="1">
      <c r="A399" s="562">
        <v>8</v>
      </c>
      <c r="B399" s="406" t="s">
        <v>39</v>
      </c>
      <c r="C399" s="593" t="s">
        <v>205</v>
      </c>
      <c r="D399" s="438" t="s">
        <v>944</v>
      </c>
      <c r="E399" s="406" t="s">
        <v>1584</v>
      </c>
      <c r="F399" s="438"/>
      <c r="G399" s="438"/>
      <c r="H399" s="599"/>
      <c r="I399" s="406" t="s">
        <v>541</v>
      </c>
      <c r="J399" s="438"/>
      <c r="K399" s="600">
        <f>'ПРИЛ №3'!G366</f>
        <v>45700</v>
      </c>
      <c r="L399" s="958"/>
      <c r="M399" s="540">
        <f t="shared" si="10"/>
        <v>45700</v>
      </c>
    </row>
    <row r="400" spans="1:13" ht="25.5" customHeight="1">
      <c r="A400" s="562">
        <v>9</v>
      </c>
      <c r="B400" s="406" t="s">
        <v>1583</v>
      </c>
      <c r="C400" s="560" t="s">
        <v>205</v>
      </c>
      <c r="D400" s="438" t="s">
        <v>944</v>
      </c>
      <c r="E400" s="406" t="s">
        <v>1584</v>
      </c>
      <c r="F400" s="438"/>
      <c r="G400" s="438"/>
      <c r="H400" s="599"/>
      <c r="I400" s="406" t="s">
        <v>541</v>
      </c>
      <c r="J400" s="438"/>
      <c r="K400" s="600">
        <f>'ПРИЛ №3'!G367</f>
        <v>18400</v>
      </c>
      <c r="L400" s="958"/>
      <c r="M400" s="540">
        <f t="shared" si="10"/>
        <v>18400</v>
      </c>
    </row>
    <row r="401" spans="1:13" ht="23.25" customHeight="1">
      <c r="A401" s="562">
        <v>10</v>
      </c>
      <c r="B401" s="439" t="s">
        <v>1523</v>
      </c>
      <c r="C401" s="593" t="s">
        <v>205</v>
      </c>
      <c r="D401" s="438" t="s">
        <v>944</v>
      </c>
      <c r="E401" s="401" t="s">
        <v>1212</v>
      </c>
      <c r="F401" s="438"/>
      <c r="G401" s="438"/>
      <c r="H401" s="599"/>
      <c r="I401" s="406" t="s">
        <v>541</v>
      </c>
      <c r="J401" s="438"/>
      <c r="K401" s="600">
        <f>'ПРИЛ №3'!G373</f>
        <v>9450</v>
      </c>
      <c r="L401" s="958"/>
      <c r="M401" s="540">
        <f t="shared" si="10"/>
        <v>9450</v>
      </c>
    </row>
    <row r="402" spans="1:13" s="567" customFormat="1" ht="16.5" customHeight="1" thickBot="1">
      <c r="A402" s="601"/>
      <c r="B402" s="602" t="s">
        <v>560</v>
      </c>
      <c r="C402" s="603"/>
      <c r="D402" s="604"/>
      <c r="E402" s="604"/>
      <c r="F402" s="604"/>
      <c r="G402" s="604"/>
      <c r="H402" s="605"/>
      <c r="I402" s="604"/>
      <c r="J402" s="604"/>
      <c r="K402" s="606">
        <f>SUM(K394:K401)</f>
        <v>220570</v>
      </c>
      <c r="L402" s="606">
        <f>SUM(L394:L401)</f>
        <v>0</v>
      </c>
      <c r="M402" s="606">
        <f>SUM(M394:M401)</f>
        <v>220570</v>
      </c>
    </row>
    <row r="403" spans="1:13" s="574" customFormat="1" ht="17.25" customHeight="1" thickBot="1">
      <c r="A403" s="568"/>
      <c r="B403" s="569" t="s">
        <v>56</v>
      </c>
      <c r="C403" s="570"/>
      <c r="D403" s="571"/>
      <c r="E403" s="571"/>
      <c r="F403" s="571"/>
      <c r="G403" s="571"/>
      <c r="H403" s="572"/>
      <c r="I403" s="571"/>
      <c r="J403" s="571"/>
      <c r="K403" s="573">
        <f>SUM(K385,K387,K389,K402,K393,K391,K376)</f>
        <v>390987</v>
      </c>
      <c r="L403" s="573">
        <f>SUM(L385,L387,L389,L402,L393,L391,L376)</f>
        <v>0</v>
      </c>
      <c r="M403" s="573">
        <f>SUM(M385,M387,M389,M402,M393,M391,M376)</f>
        <v>390987</v>
      </c>
    </row>
    <row r="404" spans="1:13" ht="18.75" customHeight="1" thickBot="1">
      <c r="A404" s="551" t="s">
        <v>1626</v>
      </c>
      <c r="M404" s="540"/>
    </row>
    <row r="405" spans="1:13" ht="15.75" customHeight="1" thickBot="1">
      <c r="A405" s="2047" t="s">
        <v>905</v>
      </c>
      <c r="B405" s="2049" t="s">
        <v>317</v>
      </c>
      <c r="C405" s="2051" t="s">
        <v>1625</v>
      </c>
      <c r="D405" s="549" t="s">
        <v>362</v>
      </c>
      <c r="E405" s="555" t="s">
        <v>363</v>
      </c>
      <c r="F405" s="2045" t="s">
        <v>906</v>
      </c>
      <c r="G405" s="2045" t="s">
        <v>907</v>
      </c>
      <c r="H405" s="2045" t="s">
        <v>359</v>
      </c>
      <c r="I405" s="2045" t="s">
        <v>360</v>
      </c>
      <c r="J405" s="2045" t="s">
        <v>775</v>
      </c>
      <c r="K405" s="2057" t="s">
        <v>366</v>
      </c>
      <c r="L405" s="2058"/>
      <c r="M405" s="540"/>
    </row>
    <row r="406" spans="1:13" ht="15" customHeight="1" thickBot="1">
      <c r="A406" s="2048"/>
      <c r="B406" s="2050"/>
      <c r="C406" s="2052"/>
      <c r="D406" s="550" t="s">
        <v>361</v>
      </c>
      <c r="E406" s="556" t="s">
        <v>361</v>
      </c>
      <c r="F406" s="2046"/>
      <c r="G406" s="2046"/>
      <c r="H406" s="2046"/>
      <c r="I406" s="2046"/>
      <c r="J406" s="2046"/>
      <c r="K406" s="557" t="s">
        <v>364</v>
      </c>
      <c r="L406" s="951" t="s">
        <v>365</v>
      </c>
      <c r="M406" s="540"/>
    </row>
    <row r="407" spans="1:13" s="551" customFormat="1" ht="16.5" customHeight="1">
      <c r="A407" s="522">
        <v>1</v>
      </c>
      <c r="B407" s="401" t="s">
        <v>429</v>
      </c>
      <c r="C407" s="560" t="s">
        <v>1378</v>
      </c>
      <c r="D407" s="1227" t="s">
        <v>1627</v>
      </c>
      <c r="E407" s="560" t="s">
        <v>1628</v>
      </c>
      <c r="F407" s="560"/>
      <c r="G407" s="560"/>
      <c r="H407" s="560"/>
      <c r="I407" s="1228" t="s">
        <v>130</v>
      </c>
      <c r="J407" s="890"/>
      <c r="K407" s="580">
        <f>'ПРИЛ №3'!G22</f>
        <v>1200</v>
      </c>
      <c r="L407" s="1220"/>
      <c r="M407" s="540">
        <f>K407-L407</f>
        <v>1200</v>
      </c>
    </row>
    <row r="408" spans="1:13" s="551" customFormat="1" ht="15.75" customHeight="1">
      <c r="A408" s="522">
        <v>2</v>
      </c>
      <c r="B408" s="401" t="s">
        <v>429</v>
      </c>
      <c r="C408" s="560" t="s">
        <v>1378</v>
      </c>
      <c r="D408" s="1227" t="s">
        <v>925</v>
      </c>
      <c r="E408" s="560" t="s">
        <v>1628</v>
      </c>
      <c r="F408" s="560"/>
      <c r="G408" s="560"/>
      <c r="H408" s="560"/>
      <c r="I408" s="1228" t="s">
        <v>130</v>
      </c>
      <c r="J408" s="890"/>
      <c r="K408" s="580">
        <f>'ПРИЛ №3'!G31</f>
        <v>4967</v>
      </c>
      <c r="L408" s="1220"/>
      <c r="M408" s="540">
        <f>K408-L408</f>
        <v>4967</v>
      </c>
    </row>
    <row r="409" spans="1:13" s="551" customFormat="1" ht="20.25" customHeight="1">
      <c r="A409" s="522">
        <v>3</v>
      </c>
      <c r="B409" s="401" t="s">
        <v>429</v>
      </c>
      <c r="C409" s="560" t="s">
        <v>1378</v>
      </c>
      <c r="D409" s="1227" t="s">
        <v>332</v>
      </c>
      <c r="E409" s="560" t="s">
        <v>1628</v>
      </c>
      <c r="F409" s="560"/>
      <c r="G409" s="560"/>
      <c r="H409" s="560"/>
      <c r="I409" s="1228" t="s">
        <v>130</v>
      </c>
      <c r="J409" s="890"/>
      <c r="K409" s="580">
        <f>'1.3 шк'!L35</f>
        <v>7478</v>
      </c>
      <c r="L409" s="1220"/>
      <c r="M409" s="540">
        <f>K409-L409</f>
        <v>7478</v>
      </c>
    </row>
    <row r="410" spans="1:13" s="567" customFormat="1" ht="12">
      <c r="A410" s="522"/>
      <c r="B410" s="596" t="s">
        <v>497</v>
      </c>
      <c r="C410" s="582"/>
      <c r="D410" s="581"/>
      <c r="E410" s="581"/>
      <c r="F410" s="581"/>
      <c r="G410" s="581"/>
      <c r="H410" s="583"/>
      <c r="I410" s="581"/>
      <c r="J410" s="581"/>
      <c r="K410" s="584">
        <f>SUM(K407:K409)</f>
        <v>13645</v>
      </c>
      <c r="L410" s="584">
        <f>SUM(L407:L409)</f>
        <v>0</v>
      </c>
      <c r="M410" s="584">
        <f>SUM(M407:M409)</f>
        <v>13645</v>
      </c>
    </row>
    <row r="411" spans="1:13" ht="12">
      <c r="A411" s="543"/>
      <c r="B411" s="543" t="str">
        <f>'ПРИЛ №3'!C77</f>
        <v>Инвалиды.  Мини футбол</v>
      </c>
      <c r="C411" s="560" t="s">
        <v>1726</v>
      </c>
      <c r="D411" s="406" t="s">
        <v>925</v>
      </c>
      <c r="E411" s="406" t="s">
        <v>1628</v>
      </c>
      <c r="F411" s="406"/>
      <c r="G411" s="406"/>
      <c r="H411" s="561"/>
      <c r="I411" s="406"/>
      <c r="J411" s="406"/>
      <c r="K411" s="580">
        <f>'ПРИЛ №3'!G77</f>
        <v>3119</v>
      </c>
      <c r="L411" s="1233"/>
      <c r="M411" s="540">
        <f>K411-L411</f>
        <v>3119</v>
      </c>
    </row>
    <row r="412" spans="1:13" s="567" customFormat="1" ht="12">
      <c r="A412" s="522"/>
      <c r="B412" s="596" t="s">
        <v>557</v>
      </c>
      <c r="C412" s="582"/>
      <c r="D412" s="581"/>
      <c r="E412" s="581"/>
      <c r="F412" s="581"/>
      <c r="G412" s="581"/>
      <c r="H412" s="583"/>
      <c r="I412" s="581"/>
      <c r="J412" s="581"/>
      <c r="K412" s="584">
        <f>SUM(K411)</f>
        <v>3119</v>
      </c>
      <c r="L412" s="584">
        <f>SUM(L411)</f>
        <v>0</v>
      </c>
      <c r="M412" s="584">
        <f>SUM(M411)</f>
        <v>3119</v>
      </c>
    </row>
    <row r="413" spans="1:13" ht="21" customHeight="1">
      <c r="A413" s="522">
        <v>1</v>
      </c>
      <c r="B413" s="543" t="s">
        <v>916</v>
      </c>
      <c r="C413" s="560" t="s">
        <v>1126</v>
      </c>
      <c r="D413" s="406" t="s">
        <v>925</v>
      </c>
      <c r="E413" s="406" t="s">
        <v>1628</v>
      </c>
      <c r="F413" s="406"/>
      <c r="G413" s="406"/>
      <c r="H413" s="561"/>
      <c r="I413" s="406" t="s">
        <v>541</v>
      </c>
      <c r="J413" s="406"/>
      <c r="K413" s="580">
        <f>'ПРИЛ №3'!$G$116</f>
        <v>58129</v>
      </c>
      <c r="L413" s="436"/>
      <c r="M413" s="540">
        <f>K413-L413</f>
        <v>58129</v>
      </c>
    </row>
    <row r="414" spans="1:13" ht="16.5" customHeight="1">
      <c r="A414" s="522">
        <v>2</v>
      </c>
      <c r="B414" s="245" t="s">
        <v>278</v>
      </c>
      <c r="C414" s="560" t="s">
        <v>1126</v>
      </c>
      <c r="D414" s="406" t="s">
        <v>1629</v>
      </c>
      <c r="E414" s="406" t="s">
        <v>1628</v>
      </c>
      <c r="F414" s="406"/>
      <c r="G414" s="406"/>
      <c r="H414" s="561"/>
      <c r="I414" s="406" t="s">
        <v>541</v>
      </c>
      <c r="J414" s="406"/>
      <c r="K414" s="580">
        <f>'ПРИЛ №3'!$G$153</f>
        <v>10184</v>
      </c>
      <c r="L414" s="436"/>
      <c r="M414" s="540">
        <f>K414-L414</f>
        <v>10184</v>
      </c>
    </row>
    <row r="415" spans="1:13" ht="21.75" customHeight="1">
      <c r="A415" s="522">
        <v>1</v>
      </c>
      <c r="B415" s="406" t="s">
        <v>672</v>
      </c>
      <c r="C415" s="560" t="s">
        <v>1126</v>
      </c>
      <c r="D415" s="406" t="s">
        <v>944</v>
      </c>
      <c r="E415" s="406" t="s">
        <v>1628</v>
      </c>
      <c r="F415" s="406"/>
      <c r="G415" s="406"/>
      <c r="H415" s="561"/>
      <c r="I415" s="406" t="s">
        <v>541</v>
      </c>
      <c r="J415" s="406"/>
      <c r="K415" s="580">
        <f>'ПРИЛ №3'!$G$168</f>
        <v>37401</v>
      </c>
      <c r="L415" s="436"/>
      <c r="M415" s="540">
        <f>K415-L415</f>
        <v>37401</v>
      </c>
    </row>
    <row r="416" spans="1:13" s="567" customFormat="1" ht="12">
      <c r="A416" s="522"/>
      <c r="B416" s="596" t="s">
        <v>558</v>
      </c>
      <c r="C416" s="582"/>
      <c r="D416" s="581"/>
      <c r="E416" s="581"/>
      <c r="F416" s="581"/>
      <c r="G416" s="581"/>
      <c r="H416" s="583" t="s">
        <v>318</v>
      </c>
      <c r="I416" s="581"/>
      <c r="J416" s="581"/>
      <c r="K416" s="584">
        <f>SUM(K413:K415)</f>
        <v>105714</v>
      </c>
      <c r="L416" s="584">
        <f>SUM(L413:L415)</f>
        <v>0</v>
      </c>
      <c r="M416" s="584">
        <f>SUM(M413:M415)</f>
        <v>105714</v>
      </c>
    </row>
    <row r="417" spans="1:13" s="551" customFormat="1" ht="18.75" customHeight="1">
      <c r="A417" s="522">
        <v>1</v>
      </c>
      <c r="B417" s="543" t="str">
        <f>'ПРИЛ №3'!C233</f>
        <v>Турнир им. Трофимчука по мини-футболу</v>
      </c>
      <c r="C417" s="560" t="s">
        <v>203</v>
      </c>
      <c r="D417" s="406" t="s">
        <v>1627</v>
      </c>
      <c r="E417" s="406" t="s">
        <v>1628</v>
      </c>
      <c r="F417" s="406"/>
      <c r="G417" s="406"/>
      <c r="H417" s="561"/>
      <c r="I417" s="406" t="s">
        <v>541</v>
      </c>
      <c r="J417" s="406"/>
      <c r="K417" s="580">
        <f>'ПРИЛ №3'!$G$233</f>
        <v>11863</v>
      </c>
      <c r="L417" s="436"/>
      <c r="M417" s="540">
        <f>K417-L417</f>
        <v>11863</v>
      </c>
    </row>
    <row r="418" spans="1:13" s="567" customFormat="1" ht="12">
      <c r="A418" s="543"/>
      <c r="B418" s="596" t="s">
        <v>382</v>
      </c>
      <c r="C418" s="560"/>
      <c r="D418" s="406"/>
      <c r="E418" s="406"/>
      <c r="F418" s="406"/>
      <c r="G418" s="406"/>
      <c r="H418" s="561"/>
      <c r="I418" s="406"/>
      <c r="J418" s="406"/>
      <c r="K418" s="584">
        <f>SUM(K417)</f>
        <v>11863</v>
      </c>
      <c r="L418" s="584">
        <f>SUM(L417)</f>
        <v>0</v>
      </c>
      <c r="M418" s="584">
        <f>SUM(M417)</f>
        <v>11863</v>
      </c>
    </row>
    <row r="419" spans="1:13" s="574" customFormat="1" ht="12.75" thickBot="1">
      <c r="A419" s="568"/>
      <c r="B419" s="569" t="s">
        <v>56</v>
      </c>
      <c r="C419" s="570"/>
      <c r="D419" s="571"/>
      <c r="E419" s="571"/>
      <c r="F419" s="571"/>
      <c r="G419" s="571"/>
      <c r="H419" s="572"/>
      <c r="I419" s="571"/>
      <c r="J419" s="571"/>
      <c r="K419" s="573">
        <f>SUM(K410,K412,K416,,K418)</f>
        <v>134341</v>
      </c>
      <c r="L419" s="573">
        <f>SUM(L410,L412,L416,,L418)</f>
        <v>0</v>
      </c>
      <c r="M419" s="573">
        <f>SUM(M410,M412,M416,,M418)</f>
        <v>134341</v>
      </c>
    </row>
    <row r="420" ht="12">
      <c r="M420" s="540"/>
    </row>
    <row r="421" spans="1:13" ht="12.75" thickBot="1">
      <c r="A421" s="551" t="s">
        <v>1876</v>
      </c>
      <c r="M421" s="540"/>
    </row>
    <row r="422" spans="1:13" ht="14.25" customHeight="1" thickBot="1">
      <c r="A422" s="2047" t="s">
        <v>905</v>
      </c>
      <c r="B422" s="2049" t="s">
        <v>317</v>
      </c>
      <c r="C422" s="2051" t="s">
        <v>1625</v>
      </c>
      <c r="D422" s="549" t="s">
        <v>362</v>
      </c>
      <c r="E422" s="555" t="s">
        <v>363</v>
      </c>
      <c r="F422" s="2045" t="s">
        <v>906</v>
      </c>
      <c r="G422" s="2045" t="s">
        <v>907</v>
      </c>
      <c r="H422" s="2045" t="s">
        <v>359</v>
      </c>
      <c r="I422" s="2045" t="s">
        <v>360</v>
      </c>
      <c r="J422" s="2045" t="s">
        <v>775</v>
      </c>
      <c r="K422" s="2057" t="s">
        <v>366</v>
      </c>
      <c r="L422" s="2058"/>
      <c r="M422" s="540"/>
    </row>
    <row r="423" spans="1:13" ht="16.5" customHeight="1" thickBot="1">
      <c r="A423" s="2048"/>
      <c r="B423" s="2050"/>
      <c r="C423" s="2052"/>
      <c r="D423" s="550" t="s">
        <v>361</v>
      </c>
      <c r="E423" s="556" t="s">
        <v>361</v>
      </c>
      <c r="F423" s="2046"/>
      <c r="G423" s="2046"/>
      <c r="H423" s="2046"/>
      <c r="I423" s="2046"/>
      <c r="J423" s="2046"/>
      <c r="K423" s="557" t="s">
        <v>364</v>
      </c>
      <c r="L423" s="951" t="s">
        <v>365</v>
      </c>
      <c r="M423" s="540"/>
    </row>
    <row r="424" spans="1:13" ht="22.5" customHeight="1">
      <c r="A424" s="522">
        <v>1</v>
      </c>
      <c r="B424" s="401" t="s">
        <v>286</v>
      </c>
      <c r="C424" s="560" t="s">
        <v>1378</v>
      </c>
      <c r="D424" s="406" t="s">
        <v>925</v>
      </c>
      <c r="E424" s="406" t="s">
        <v>1628</v>
      </c>
      <c r="F424" s="406"/>
      <c r="G424" s="406"/>
      <c r="H424" s="561"/>
      <c r="I424" s="406" t="s">
        <v>541</v>
      </c>
      <c r="J424" s="406"/>
      <c r="K424" s="580">
        <f>'ПРИЛ №3'!$G$29</f>
        <v>4248</v>
      </c>
      <c r="L424" s="436"/>
      <c r="M424" s="540">
        <f>K424-L424</f>
        <v>4248</v>
      </c>
    </row>
    <row r="425" spans="1:13" s="567" customFormat="1" ht="12">
      <c r="A425" s="522"/>
      <c r="B425" s="596" t="s">
        <v>497</v>
      </c>
      <c r="C425" s="582"/>
      <c r="D425" s="581"/>
      <c r="E425" s="581"/>
      <c r="F425" s="581"/>
      <c r="G425" s="581"/>
      <c r="H425" s="583"/>
      <c r="I425" s="581" t="s">
        <v>318</v>
      </c>
      <c r="J425" s="581" t="s">
        <v>318</v>
      </c>
      <c r="K425" s="584">
        <f>SUM(K424:K424)</f>
        <v>4248</v>
      </c>
      <c r="L425" s="584">
        <f>SUM(L424:L424)</f>
        <v>0</v>
      </c>
      <c r="M425" s="584">
        <f>SUM(M424:M424)</f>
        <v>4248</v>
      </c>
    </row>
    <row r="426" spans="1:13" ht="36" customHeight="1">
      <c r="A426" s="522">
        <v>1</v>
      </c>
      <c r="B426" s="265" t="s">
        <v>1130</v>
      </c>
      <c r="C426" s="560" t="s">
        <v>1189</v>
      </c>
      <c r="D426" s="406" t="s">
        <v>944</v>
      </c>
      <c r="E426" s="406" t="s">
        <v>1628</v>
      </c>
      <c r="F426" s="406"/>
      <c r="G426" s="406"/>
      <c r="H426" s="561"/>
      <c r="I426" s="406" t="s">
        <v>541</v>
      </c>
      <c r="J426" s="406"/>
      <c r="K426" s="580">
        <f>'ПРИЛ №3'!$G$67</f>
        <v>5365</v>
      </c>
      <c r="L426" s="436"/>
      <c r="M426" s="540">
        <f>K426-L426</f>
        <v>5365</v>
      </c>
    </row>
    <row r="427" spans="1:13" s="567" customFormat="1" ht="12">
      <c r="A427" s="562"/>
      <c r="B427" s="592" t="s">
        <v>555</v>
      </c>
      <c r="C427" s="564"/>
      <c r="D427" s="563"/>
      <c r="E427" s="563"/>
      <c r="F427" s="563"/>
      <c r="G427" s="563" t="s">
        <v>318</v>
      </c>
      <c r="H427" s="565"/>
      <c r="I427" s="563"/>
      <c r="J427" s="563" t="s">
        <v>318</v>
      </c>
      <c r="K427" s="566">
        <f>SUM(K426:K426)</f>
        <v>5365</v>
      </c>
      <c r="L427" s="566">
        <f>SUM(L426:L426)</f>
        <v>0</v>
      </c>
      <c r="M427" s="566">
        <f>SUM(M426:M426)</f>
        <v>5365</v>
      </c>
    </row>
    <row r="428" spans="1:13" ht="24" customHeight="1">
      <c r="A428" s="522">
        <v>1</v>
      </c>
      <c r="B428" s="406" t="s">
        <v>451</v>
      </c>
      <c r="C428" s="560" t="s">
        <v>1125</v>
      </c>
      <c r="D428" s="406" t="s">
        <v>924</v>
      </c>
      <c r="E428" s="406" t="s">
        <v>1628</v>
      </c>
      <c r="F428" s="406"/>
      <c r="G428" s="406"/>
      <c r="H428" s="561"/>
      <c r="I428" s="406" t="s">
        <v>541</v>
      </c>
      <c r="J428" s="406"/>
      <c r="K428" s="580">
        <f>'ПРИЛ №3'!G76</f>
        <v>2683</v>
      </c>
      <c r="L428" s="436"/>
      <c r="M428" s="540">
        <f>K428-L428</f>
        <v>2683</v>
      </c>
    </row>
    <row r="429" spans="1:13" s="567" customFormat="1" ht="12.75" customHeight="1">
      <c r="A429" s="562"/>
      <c r="B429" s="592" t="s">
        <v>557</v>
      </c>
      <c r="C429" s="564"/>
      <c r="D429" s="563"/>
      <c r="E429" s="563"/>
      <c r="F429" s="563"/>
      <c r="G429" s="563" t="s">
        <v>318</v>
      </c>
      <c r="H429" s="565"/>
      <c r="I429" s="563" t="s">
        <v>318</v>
      </c>
      <c r="J429" s="563"/>
      <c r="K429" s="566">
        <f>SUM(K428:K428)</f>
        <v>2683</v>
      </c>
      <c r="L429" s="566">
        <f>SUM(L428:L428)</f>
        <v>0</v>
      </c>
      <c r="M429" s="566">
        <f>SUM(M428:M428)</f>
        <v>2683</v>
      </c>
    </row>
    <row r="430" spans="1:13" ht="27" customHeight="1">
      <c r="A430" s="522">
        <v>1</v>
      </c>
      <c r="B430" s="406" t="s">
        <v>1757</v>
      </c>
      <c r="C430" s="560" t="s">
        <v>1126</v>
      </c>
      <c r="D430" s="406" t="s">
        <v>1627</v>
      </c>
      <c r="E430" s="406" t="s">
        <v>1658</v>
      </c>
      <c r="F430" s="406"/>
      <c r="G430" s="406"/>
      <c r="H430" s="561"/>
      <c r="I430" s="406" t="s">
        <v>740</v>
      </c>
      <c r="J430" s="406"/>
      <c r="K430" s="580">
        <f>'ПРИЛ №3'!$G$94</f>
        <v>1268</v>
      </c>
      <c r="L430" s="436"/>
      <c r="M430" s="540">
        <f>K430-L430</f>
        <v>1268</v>
      </c>
    </row>
    <row r="431" spans="1:13" ht="30.75" customHeight="1">
      <c r="A431" s="522">
        <v>1</v>
      </c>
      <c r="B431" s="264" t="s">
        <v>1154</v>
      </c>
      <c r="C431" s="560" t="s">
        <v>1126</v>
      </c>
      <c r="D431" s="406" t="s">
        <v>925</v>
      </c>
      <c r="E431" s="406" t="s">
        <v>1628</v>
      </c>
      <c r="F431" s="406"/>
      <c r="G431" s="406"/>
      <c r="H431" s="561"/>
      <c r="I431" s="406" t="s">
        <v>541</v>
      </c>
      <c r="J431" s="406"/>
      <c r="K431" s="580">
        <f>'ПРИЛ №3'!G114</f>
        <v>8255</v>
      </c>
      <c r="L431" s="436"/>
      <c r="M431" s="540">
        <f>K431-L431</f>
        <v>8255</v>
      </c>
    </row>
    <row r="432" spans="1:13" ht="30.75" customHeight="1">
      <c r="A432" s="522"/>
      <c r="B432" s="264" t="str">
        <f>'ПРИЛ №3'!C119</f>
        <v>Первенство п Самусьпо настольному теннису</v>
      </c>
      <c r="C432" s="560" t="s">
        <v>1678</v>
      </c>
      <c r="D432" s="406" t="s">
        <v>925</v>
      </c>
      <c r="E432" s="406" t="s">
        <v>1628</v>
      </c>
      <c r="F432" s="406"/>
      <c r="G432" s="406"/>
      <c r="H432" s="561"/>
      <c r="I432" s="406"/>
      <c r="J432" s="406"/>
      <c r="K432" s="580">
        <f>'ПРИЛ №3'!G119</f>
        <v>1119</v>
      </c>
      <c r="L432" s="436"/>
      <c r="M432" s="540">
        <f>K432-L432</f>
        <v>1119</v>
      </c>
    </row>
    <row r="433" spans="1:13" ht="21.75" customHeight="1">
      <c r="A433" s="522">
        <v>2</v>
      </c>
      <c r="B433" s="543" t="s">
        <v>380</v>
      </c>
      <c r="C433" s="560" t="s">
        <v>1126</v>
      </c>
      <c r="D433" s="406" t="s">
        <v>1629</v>
      </c>
      <c r="E433" s="406" t="s">
        <v>1628</v>
      </c>
      <c r="F433" s="406"/>
      <c r="G433" s="406"/>
      <c r="H433" s="561"/>
      <c r="I433" s="264" t="s">
        <v>1322</v>
      </c>
      <c r="J433" s="406"/>
      <c r="K433" s="580">
        <f>'ПРИЛ №3'!G154</f>
        <v>3602</v>
      </c>
      <c r="L433" s="436"/>
      <c r="M433" s="540">
        <f>K433-L433</f>
        <v>3602</v>
      </c>
    </row>
    <row r="434" spans="1:13" s="567" customFormat="1" ht="12">
      <c r="A434" s="562"/>
      <c r="B434" s="592" t="s">
        <v>558</v>
      </c>
      <c r="C434" s="564"/>
      <c r="D434" s="563"/>
      <c r="E434" s="563"/>
      <c r="F434" s="563"/>
      <c r="G434" s="563"/>
      <c r="H434" s="565"/>
      <c r="I434" s="563"/>
      <c r="J434" s="563"/>
      <c r="K434" s="566">
        <f>SUM(K430:K433)</f>
        <v>14244</v>
      </c>
      <c r="L434" s="566">
        <f>SUM(L430:L433)</f>
        <v>0</v>
      </c>
      <c r="M434" s="566">
        <f>SUM(M430:M433)</f>
        <v>14244</v>
      </c>
    </row>
    <row r="435" spans="1:13" s="567" customFormat="1" ht="26.25" customHeight="1">
      <c r="A435" s="562">
        <v>1</v>
      </c>
      <c r="B435" s="545" t="str">
        <f>'ПРИЛ №3'!C229</f>
        <v>Кубок города по настольному теннису</v>
      </c>
      <c r="C435" s="593" t="s">
        <v>203</v>
      </c>
      <c r="D435" s="404" t="s">
        <v>1627</v>
      </c>
      <c r="E435" s="406" t="s">
        <v>1628</v>
      </c>
      <c r="F435" s="404"/>
      <c r="G435" s="404"/>
      <c r="H435" s="594"/>
      <c r="I435" s="264" t="s">
        <v>1322</v>
      </c>
      <c r="J435" s="404"/>
      <c r="K435" s="580">
        <f>'ПРИЛ №3'!$G$229</f>
        <v>38424</v>
      </c>
      <c r="L435" s="1119"/>
      <c r="M435" s="540">
        <f>K435-L435</f>
        <v>38424</v>
      </c>
    </row>
    <row r="436" spans="1:13" ht="33.75" customHeight="1">
      <c r="A436" s="522">
        <v>2</v>
      </c>
      <c r="B436" s="406" t="s">
        <v>1062</v>
      </c>
      <c r="C436" s="560" t="s">
        <v>203</v>
      </c>
      <c r="D436" s="406" t="s">
        <v>925</v>
      </c>
      <c r="E436" s="406" t="s">
        <v>1628</v>
      </c>
      <c r="F436" s="406"/>
      <c r="G436" s="406"/>
      <c r="H436" s="561"/>
      <c r="I436" s="406" t="s">
        <v>541</v>
      </c>
      <c r="J436" s="406"/>
      <c r="K436" s="580">
        <f>'ПРИЛ №3'!$G$239</f>
        <v>8081</v>
      </c>
      <c r="L436" s="436"/>
      <c r="M436" s="540">
        <f>K436-L436</f>
        <v>8081</v>
      </c>
    </row>
    <row r="437" spans="1:13" s="567" customFormat="1" ht="12">
      <c r="A437" s="522"/>
      <c r="B437" s="596" t="s">
        <v>382</v>
      </c>
      <c r="C437" s="582"/>
      <c r="D437" s="581"/>
      <c r="E437" s="581"/>
      <c r="F437" s="581"/>
      <c r="G437" s="581"/>
      <c r="H437" s="583"/>
      <c r="I437" s="581"/>
      <c r="J437" s="581"/>
      <c r="K437" s="584">
        <f>SUM(K435:K436)</f>
        <v>46505</v>
      </c>
      <c r="L437" s="584">
        <f>SUM(L435:L436)</f>
        <v>0</v>
      </c>
      <c r="M437" s="584">
        <f>SUM(M435:M436)</f>
        <v>46505</v>
      </c>
    </row>
    <row r="438" spans="1:13" ht="17.25" customHeight="1">
      <c r="A438" s="522">
        <v>3</v>
      </c>
      <c r="B438" s="544" t="s">
        <v>1888</v>
      </c>
      <c r="C438" s="560" t="s">
        <v>204</v>
      </c>
      <c r="D438" s="406" t="s">
        <v>1424</v>
      </c>
      <c r="E438" s="406" t="s">
        <v>1628</v>
      </c>
      <c r="F438" s="406"/>
      <c r="G438" s="406"/>
      <c r="H438" s="561"/>
      <c r="I438" s="406" t="s">
        <v>541</v>
      </c>
      <c r="J438" s="406"/>
      <c r="K438" s="580">
        <f>'ПРИЛ №3'!$G$271</f>
        <v>2619</v>
      </c>
      <c r="L438" s="436"/>
      <c r="M438" s="540">
        <f>K438-L438</f>
        <v>2619</v>
      </c>
    </row>
    <row r="439" spans="1:13" s="567" customFormat="1" ht="12">
      <c r="A439" s="522"/>
      <c r="B439" s="1534" t="s">
        <v>1367</v>
      </c>
      <c r="C439" s="613"/>
      <c r="D439" s="610"/>
      <c r="E439" s="610"/>
      <c r="F439" s="610"/>
      <c r="G439" s="610"/>
      <c r="H439" s="611"/>
      <c r="I439" s="581"/>
      <c r="J439" s="610"/>
      <c r="K439" s="614">
        <f>SUM(K438)</f>
        <v>2619</v>
      </c>
      <c r="L439" s="614">
        <f>SUM(L438)</f>
        <v>0</v>
      </c>
      <c r="M439" s="614">
        <f>SUM(M438)</f>
        <v>2619</v>
      </c>
    </row>
    <row r="440" spans="1:13" s="567" customFormat="1" ht="27.75" customHeight="1">
      <c r="A440" s="522">
        <v>1</v>
      </c>
      <c r="B440" s="439" t="s">
        <v>54</v>
      </c>
      <c r="C440" s="598" t="s">
        <v>205</v>
      </c>
      <c r="D440" s="438" t="s">
        <v>1425</v>
      </c>
      <c r="E440" s="438" t="s">
        <v>1027</v>
      </c>
      <c r="F440" s="610"/>
      <c r="G440" s="610"/>
      <c r="H440" s="611"/>
      <c r="I440" s="406" t="s">
        <v>541</v>
      </c>
      <c r="J440" s="610"/>
      <c r="K440" s="600">
        <f>'ПРИЛ №3'!$G$316</f>
        <v>11400</v>
      </c>
      <c r="L440" s="959"/>
      <c r="M440" s="540">
        <f>K440-L440</f>
        <v>11400</v>
      </c>
    </row>
    <row r="441" spans="1:13" ht="29.25" customHeight="1">
      <c r="A441" s="597">
        <v>2</v>
      </c>
      <c r="B441" s="406" t="s">
        <v>458</v>
      </c>
      <c r="C441" s="598" t="s">
        <v>205</v>
      </c>
      <c r="D441" s="438" t="s">
        <v>332</v>
      </c>
      <c r="E441" s="438" t="s">
        <v>1212</v>
      </c>
      <c r="F441" s="438"/>
      <c r="G441" s="438"/>
      <c r="H441" s="599"/>
      <c r="I441" s="438"/>
      <c r="J441" s="438"/>
      <c r="K441" s="600">
        <f>'ПРИЛ №3'!$G$344</f>
        <v>8000</v>
      </c>
      <c r="L441" s="958"/>
      <c r="M441" s="540">
        <f>K441-L441</f>
        <v>8000</v>
      </c>
    </row>
    <row r="442" spans="1:13" ht="19.5" customHeight="1">
      <c r="A442" s="597">
        <v>3</v>
      </c>
      <c r="B442" s="401" t="s">
        <v>1524</v>
      </c>
      <c r="C442" s="598" t="s">
        <v>205</v>
      </c>
      <c r="D442" s="438" t="s">
        <v>944</v>
      </c>
      <c r="E442" s="438" t="s">
        <v>948</v>
      </c>
      <c r="F442" s="438"/>
      <c r="G442" s="438"/>
      <c r="H442" s="599"/>
      <c r="I442" s="438"/>
      <c r="J442" s="438"/>
      <c r="K442" s="600">
        <f>'ПРИЛ №3'!$G$374</f>
        <v>2900</v>
      </c>
      <c r="L442" s="958"/>
      <c r="M442" s="540">
        <f>K442-L442</f>
        <v>2900</v>
      </c>
    </row>
    <row r="443" spans="1:13" s="567" customFormat="1" ht="12.75" thickBot="1">
      <c r="A443" s="601"/>
      <c r="B443" s="602" t="s">
        <v>560</v>
      </c>
      <c r="C443" s="603"/>
      <c r="D443" s="604"/>
      <c r="E443" s="604"/>
      <c r="F443" s="604"/>
      <c r="G443" s="604"/>
      <c r="H443" s="605"/>
      <c r="I443" s="604"/>
      <c r="J443" s="604"/>
      <c r="K443" s="606">
        <f>SUM(K440:K442)</f>
        <v>22300</v>
      </c>
      <c r="L443" s="606">
        <f>SUM(L440:L442)</f>
        <v>0</v>
      </c>
      <c r="M443" s="606">
        <f>SUM(M440:M442)</f>
        <v>22300</v>
      </c>
    </row>
    <row r="444" spans="1:13" s="574" customFormat="1" ht="12.75" thickBot="1">
      <c r="A444" s="568"/>
      <c r="B444" s="569" t="s">
        <v>56</v>
      </c>
      <c r="C444" s="570"/>
      <c r="D444" s="571"/>
      <c r="E444" s="571"/>
      <c r="F444" s="571"/>
      <c r="G444" s="571"/>
      <c r="H444" s="572"/>
      <c r="I444" s="571"/>
      <c r="J444" s="571"/>
      <c r="K444" s="573">
        <f>SUM(K425,K427,K429,K434,K437,K439,K443)</f>
        <v>97964</v>
      </c>
      <c r="L444" s="573">
        <f>SUM(L425,L427,L429,L434,L437,L439,L443)</f>
        <v>0</v>
      </c>
      <c r="M444" s="573">
        <f>SUM(M425,M427,M429,M434,M437,M439,M443)</f>
        <v>97964</v>
      </c>
    </row>
    <row r="445" ht="12">
      <c r="M445" s="540">
        <f>K445-L445</f>
        <v>0</v>
      </c>
    </row>
    <row r="446" spans="1:13" ht="12.75" thickBot="1">
      <c r="A446" s="551" t="s">
        <v>938</v>
      </c>
      <c r="M446" s="540"/>
    </row>
    <row r="447" spans="1:13" ht="14.25" customHeight="1" thickBot="1">
      <c r="A447" s="2047" t="s">
        <v>905</v>
      </c>
      <c r="B447" s="2049" t="s">
        <v>317</v>
      </c>
      <c r="C447" s="2051" t="s">
        <v>1625</v>
      </c>
      <c r="D447" s="549" t="s">
        <v>362</v>
      </c>
      <c r="E447" s="555" t="s">
        <v>363</v>
      </c>
      <c r="F447" s="2045" t="s">
        <v>906</v>
      </c>
      <c r="G447" s="2045" t="s">
        <v>907</v>
      </c>
      <c r="H447" s="2045" t="s">
        <v>359</v>
      </c>
      <c r="I447" s="2045" t="s">
        <v>360</v>
      </c>
      <c r="J447" s="2045" t="s">
        <v>775</v>
      </c>
      <c r="K447" s="2057" t="s">
        <v>366</v>
      </c>
      <c r="L447" s="2058"/>
      <c r="M447" s="540"/>
    </row>
    <row r="448" spans="1:13" ht="30.75" customHeight="1" thickBot="1">
      <c r="A448" s="2048"/>
      <c r="B448" s="2050"/>
      <c r="C448" s="2052"/>
      <c r="D448" s="550" t="s">
        <v>361</v>
      </c>
      <c r="E448" s="556" t="s">
        <v>361</v>
      </c>
      <c r="F448" s="2046"/>
      <c r="G448" s="2046"/>
      <c r="H448" s="2046"/>
      <c r="I448" s="2046"/>
      <c r="J448" s="2046"/>
      <c r="K448" s="557" t="s">
        <v>364</v>
      </c>
      <c r="L448" s="951" t="s">
        <v>365</v>
      </c>
      <c r="M448" s="540"/>
    </row>
    <row r="449" spans="1:13" ht="25.5" customHeight="1">
      <c r="A449" s="562">
        <v>1</v>
      </c>
      <c r="B449" s="264" t="s">
        <v>885</v>
      </c>
      <c r="C449" s="593" t="s">
        <v>1126</v>
      </c>
      <c r="D449" s="404" t="s">
        <v>1651</v>
      </c>
      <c r="E449" s="404" t="s">
        <v>1628</v>
      </c>
      <c r="F449" s="404"/>
      <c r="G449" s="404"/>
      <c r="H449" s="594"/>
      <c r="I449" s="404" t="s">
        <v>541</v>
      </c>
      <c r="J449" s="404"/>
      <c r="K449" s="595">
        <f>'ПРИЛ №3'!G137</f>
        <v>4174</v>
      </c>
      <c r="L449" s="957"/>
      <c r="M449" s="540">
        <f>K449-L449</f>
        <v>4174</v>
      </c>
    </row>
    <row r="450" spans="1:13" ht="23.25" customHeight="1">
      <c r="A450" s="522">
        <v>2</v>
      </c>
      <c r="B450" s="406" t="s">
        <v>1714</v>
      </c>
      <c r="C450" s="560" t="s">
        <v>1126</v>
      </c>
      <c r="D450" s="406" t="s">
        <v>1650</v>
      </c>
      <c r="E450" s="406" t="s">
        <v>1628</v>
      </c>
      <c r="F450" s="406"/>
      <c r="G450" s="406"/>
      <c r="H450" s="561"/>
      <c r="I450" s="404" t="s">
        <v>541</v>
      </c>
      <c r="J450" s="406"/>
      <c r="K450" s="580">
        <f>'ПРИЛ №3'!G141</f>
        <v>14894</v>
      </c>
      <c r="L450" s="436"/>
      <c r="M450" s="540">
        <f>K450-L450</f>
        <v>14894</v>
      </c>
    </row>
    <row r="451" spans="1:13" s="567" customFormat="1" ht="12">
      <c r="A451" s="522"/>
      <c r="B451" s="1530" t="s">
        <v>558</v>
      </c>
      <c r="C451" s="582"/>
      <c r="D451" s="581"/>
      <c r="E451" s="581"/>
      <c r="F451" s="581"/>
      <c r="G451" s="581"/>
      <c r="H451" s="583"/>
      <c r="I451" s="581"/>
      <c r="J451" s="581"/>
      <c r="K451" s="584">
        <f>SUM(K449:K450)</f>
        <v>19068</v>
      </c>
      <c r="L451" s="584">
        <f>SUM(L449:L450)</f>
        <v>0</v>
      </c>
      <c r="M451" s="584">
        <f>SUM(M449:M450)</f>
        <v>19068</v>
      </c>
    </row>
    <row r="452" spans="1:13" ht="24.75" customHeight="1">
      <c r="A452" s="597">
        <v>1</v>
      </c>
      <c r="B452" s="264" t="s">
        <v>1714</v>
      </c>
      <c r="C452" s="598" t="s">
        <v>205</v>
      </c>
      <c r="D452" s="438" t="s">
        <v>1650</v>
      </c>
      <c r="E452" s="438" t="s">
        <v>1428</v>
      </c>
      <c r="F452" s="438"/>
      <c r="G452" s="438"/>
      <c r="H452" s="599"/>
      <c r="I452" s="438" t="s">
        <v>541</v>
      </c>
      <c r="J452" s="438"/>
      <c r="K452" s="600">
        <f>'ПРИЛ №3'!$G$337</f>
        <v>10400</v>
      </c>
      <c r="L452" s="958"/>
      <c r="M452" s="540">
        <f>K452-L452</f>
        <v>10400</v>
      </c>
    </row>
    <row r="453" spans="1:13" s="567" customFormat="1" ht="12">
      <c r="A453" s="522"/>
      <c r="B453" s="596" t="s">
        <v>560</v>
      </c>
      <c r="C453" s="582"/>
      <c r="D453" s="581"/>
      <c r="E453" s="581"/>
      <c r="F453" s="581"/>
      <c r="G453" s="581"/>
      <c r="H453" s="583"/>
      <c r="I453" s="581"/>
      <c r="J453" s="581" t="s">
        <v>318</v>
      </c>
      <c r="K453" s="584">
        <f>SUM(K452:K452)</f>
        <v>10400</v>
      </c>
      <c r="L453" s="584">
        <f>SUM(L452:L452)</f>
        <v>0</v>
      </c>
      <c r="M453" s="584">
        <f>SUM(M452:M452)</f>
        <v>10400</v>
      </c>
    </row>
    <row r="454" spans="1:13" s="574" customFormat="1" ht="12.75" thickBot="1">
      <c r="A454" s="568"/>
      <c r="B454" s="569" t="s">
        <v>56</v>
      </c>
      <c r="C454" s="570"/>
      <c r="D454" s="571"/>
      <c r="E454" s="571"/>
      <c r="F454" s="571"/>
      <c r="G454" s="571"/>
      <c r="H454" s="572"/>
      <c r="I454" s="571"/>
      <c r="J454" s="571"/>
      <c r="K454" s="573">
        <f>SUM(K451,K453)</f>
        <v>29468</v>
      </c>
      <c r="L454" s="573">
        <f>SUM(L451,L453)</f>
        <v>0</v>
      </c>
      <c r="M454" s="573">
        <f>SUM(M451,M453)</f>
        <v>29468</v>
      </c>
    </row>
    <row r="455" ht="12">
      <c r="M455" s="540"/>
    </row>
    <row r="456" spans="1:13" ht="12.75" thickBot="1">
      <c r="A456" s="551" t="s">
        <v>331</v>
      </c>
      <c r="M456" s="540"/>
    </row>
    <row r="457" spans="1:13" ht="14.25" customHeight="1" thickBot="1">
      <c r="A457" s="2047" t="s">
        <v>905</v>
      </c>
      <c r="B457" s="2049" t="s">
        <v>317</v>
      </c>
      <c r="C457" s="2051" t="s">
        <v>1625</v>
      </c>
      <c r="D457" s="549" t="s">
        <v>362</v>
      </c>
      <c r="E457" s="555" t="s">
        <v>363</v>
      </c>
      <c r="F457" s="2045" t="s">
        <v>906</v>
      </c>
      <c r="G457" s="2045" t="s">
        <v>907</v>
      </c>
      <c r="H457" s="2045" t="s">
        <v>359</v>
      </c>
      <c r="I457" s="2045" t="s">
        <v>360</v>
      </c>
      <c r="J457" s="2045" t="s">
        <v>775</v>
      </c>
      <c r="K457" s="2057" t="s">
        <v>366</v>
      </c>
      <c r="L457" s="2058"/>
      <c r="M457" s="540"/>
    </row>
    <row r="458" spans="1:13" ht="27" customHeight="1" thickBot="1">
      <c r="A458" s="2048"/>
      <c r="B458" s="2050"/>
      <c r="C458" s="2052"/>
      <c r="D458" s="550" t="s">
        <v>361</v>
      </c>
      <c r="E458" s="556" t="s">
        <v>361</v>
      </c>
      <c r="F458" s="2046"/>
      <c r="G458" s="2046"/>
      <c r="H458" s="2046"/>
      <c r="I458" s="2046"/>
      <c r="J458" s="2046"/>
      <c r="K458" s="557" t="s">
        <v>364</v>
      </c>
      <c r="L458" s="951" t="s">
        <v>365</v>
      </c>
      <c r="M458" s="540"/>
    </row>
    <row r="459" spans="1:13" ht="15.75" customHeight="1">
      <c r="A459" s="522">
        <v>2</v>
      </c>
      <c r="B459" s="245" t="s">
        <v>995</v>
      </c>
      <c r="C459" s="560" t="s">
        <v>1789</v>
      </c>
      <c r="D459" s="406" t="s">
        <v>923</v>
      </c>
      <c r="E459" s="406" t="s">
        <v>1628</v>
      </c>
      <c r="F459" s="406"/>
      <c r="G459" s="406"/>
      <c r="H459" s="561"/>
      <c r="I459" s="245" t="s">
        <v>541</v>
      </c>
      <c r="J459" s="406"/>
      <c r="K459" s="580">
        <f>'ПРИЛ №3'!$G$208</f>
        <v>5400</v>
      </c>
      <c r="L459" s="436"/>
      <c r="M459" s="540">
        <f>K459-L459</f>
        <v>5400</v>
      </c>
    </row>
    <row r="460" spans="1:13" s="567" customFormat="1" ht="12">
      <c r="A460" s="562"/>
      <c r="B460" s="592" t="s">
        <v>1880</v>
      </c>
      <c r="C460" s="564"/>
      <c r="D460" s="563"/>
      <c r="E460" s="563"/>
      <c r="F460" s="563"/>
      <c r="G460" s="563"/>
      <c r="H460" s="565"/>
      <c r="I460" s="563"/>
      <c r="J460" s="563"/>
      <c r="K460" s="566">
        <f>SUM(K459:K459)</f>
        <v>5400</v>
      </c>
      <c r="L460" s="566">
        <f>SUM(L459:L459)</f>
        <v>0</v>
      </c>
      <c r="M460" s="566">
        <f>SUM(M459:M459)</f>
        <v>5400</v>
      </c>
    </row>
    <row r="461" spans="1:13" ht="29.25" customHeight="1">
      <c r="A461" s="597">
        <v>2</v>
      </c>
      <c r="B461" s="406" t="s">
        <v>1585</v>
      </c>
      <c r="C461" s="598" t="s">
        <v>205</v>
      </c>
      <c r="D461" s="438" t="s">
        <v>925</v>
      </c>
      <c r="E461" s="438" t="s">
        <v>291</v>
      </c>
      <c r="F461" s="438"/>
      <c r="G461" s="438"/>
      <c r="H461" s="599"/>
      <c r="I461" s="245" t="s">
        <v>541</v>
      </c>
      <c r="J461" s="438"/>
      <c r="K461" s="600">
        <f>'ПРИЛ №3'!$G$304</f>
        <v>5900</v>
      </c>
      <c r="L461" s="958"/>
      <c r="M461" s="540">
        <f>K461-L461</f>
        <v>5900</v>
      </c>
    </row>
    <row r="462" spans="1:13" ht="16.5" customHeight="1">
      <c r="A462" s="597">
        <v>3</v>
      </c>
      <c r="B462" s="406" t="s">
        <v>1586</v>
      </c>
      <c r="C462" s="598" t="s">
        <v>205</v>
      </c>
      <c r="D462" s="438" t="s">
        <v>1649</v>
      </c>
      <c r="E462" s="438" t="s">
        <v>506</v>
      </c>
      <c r="F462" s="438"/>
      <c r="G462" s="438"/>
      <c r="H462" s="599"/>
      <c r="I462" s="245" t="s">
        <v>541</v>
      </c>
      <c r="J462" s="438"/>
      <c r="K462" s="600">
        <f>'ПРИЛ №3'!$G$326</f>
        <v>14520</v>
      </c>
      <c r="L462" s="958"/>
      <c r="M462" s="540">
        <f>K462-L462</f>
        <v>14520</v>
      </c>
    </row>
    <row r="463" spans="1:13" ht="16.5" customHeight="1">
      <c r="A463" s="597">
        <v>4</v>
      </c>
      <c r="B463" s="406" t="s">
        <v>1525</v>
      </c>
      <c r="C463" s="598" t="s">
        <v>205</v>
      </c>
      <c r="D463" s="438" t="s">
        <v>944</v>
      </c>
      <c r="E463" s="438" t="s">
        <v>948</v>
      </c>
      <c r="F463" s="438"/>
      <c r="G463" s="438"/>
      <c r="H463" s="599"/>
      <c r="I463" s="245"/>
      <c r="J463" s="438"/>
      <c r="K463" s="600">
        <f>'ПРИЛ №3'!$G$375</f>
        <v>3900</v>
      </c>
      <c r="L463" s="958"/>
      <c r="M463" s="540">
        <f>K463-L463</f>
        <v>3900</v>
      </c>
    </row>
    <row r="464" spans="1:13" ht="30.75" customHeight="1">
      <c r="A464" s="597">
        <v>5</v>
      </c>
      <c r="B464" s="401" t="s">
        <v>759</v>
      </c>
      <c r="C464" s="598" t="s">
        <v>205</v>
      </c>
      <c r="D464" s="438" t="s">
        <v>1424</v>
      </c>
      <c r="E464" s="438" t="s">
        <v>1211</v>
      </c>
      <c r="F464" s="438"/>
      <c r="G464" s="438"/>
      <c r="H464" s="599"/>
      <c r="I464" s="245" t="s">
        <v>541</v>
      </c>
      <c r="J464" s="438"/>
      <c r="K464" s="600">
        <f>'ПРИЛ №3'!$G$383</f>
        <v>8720</v>
      </c>
      <c r="L464" s="958"/>
      <c r="M464" s="540">
        <f>K464-L464</f>
        <v>8720</v>
      </c>
    </row>
    <row r="465" spans="1:13" s="567" customFormat="1" ht="12.75" thickBot="1">
      <c r="A465" s="601"/>
      <c r="B465" s="602" t="s">
        <v>560</v>
      </c>
      <c r="C465" s="603"/>
      <c r="D465" s="604"/>
      <c r="E465" s="604"/>
      <c r="F465" s="604"/>
      <c r="G465" s="604"/>
      <c r="H465" s="605"/>
      <c r="I465" s="604"/>
      <c r="J465" s="604"/>
      <c r="K465" s="606">
        <f>SUM(K461:K464)</f>
        <v>33040</v>
      </c>
      <c r="L465" s="606">
        <f>SUM(L461:L464)</f>
        <v>0</v>
      </c>
      <c r="M465" s="606">
        <f>SUM(M461:M464)</f>
        <v>33040</v>
      </c>
    </row>
    <row r="466" spans="1:13" s="574" customFormat="1" ht="12.75" thickBot="1">
      <c r="A466" s="568"/>
      <c r="B466" s="569" t="s">
        <v>56</v>
      </c>
      <c r="C466" s="570"/>
      <c r="D466" s="571"/>
      <c r="E466" s="571"/>
      <c r="F466" s="571"/>
      <c r="G466" s="571"/>
      <c r="H466" s="572"/>
      <c r="I466" s="571"/>
      <c r="J466" s="571"/>
      <c r="K466" s="573">
        <f>SUM(K460,K465,)</f>
        <v>38440</v>
      </c>
      <c r="L466" s="573">
        <f>SUM(L460,L465,)</f>
        <v>0</v>
      </c>
      <c r="M466" s="573">
        <f>SUM(M460,M465,)</f>
        <v>38440</v>
      </c>
    </row>
    <row r="467" ht="12">
      <c r="M467" s="540"/>
    </row>
    <row r="468" spans="1:13" ht="12.75" thickBot="1">
      <c r="A468" s="551" t="s">
        <v>507</v>
      </c>
      <c r="M468" s="540"/>
    </row>
    <row r="469" spans="1:13" ht="14.25" customHeight="1" thickBot="1">
      <c r="A469" s="2047" t="s">
        <v>905</v>
      </c>
      <c r="B469" s="2049" t="s">
        <v>317</v>
      </c>
      <c r="C469" s="2051" t="s">
        <v>1625</v>
      </c>
      <c r="D469" s="549" t="s">
        <v>362</v>
      </c>
      <c r="E469" s="555" t="s">
        <v>363</v>
      </c>
      <c r="F469" s="2045" t="s">
        <v>906</v>
      </c>
      <c r="G469" s="2045" t="s">
        <v>907</v>
      </c>
      <c r="H469" s="2045" t="s">
        <v>359</v>
      </c>
      <c r="I469" s="2045" t="s">
        <v>360</v>
      </c>
      <c r="J469" s="2045" t="s">
        <v>775</v>
      </c>
      <c r="K469" s="2057" t="s">
        <v>366</v>
      </c>
      <c r="L469" s="2058"/>
      <c r="M469" s="540"/>
    </row>
    <row r="470" spans="1:13" ht="12" customHeight="1" thickBot="1">
      <c r="A470" s="2048"/>
      <c r="B470" s="2050"/>
      <c r="C470" s="2052"/>
      <c r="D470" s="550" t="s">
        <v>361</v>
      </c>
      <c r="E470" s="556" t="s">
        <v>361</v>
      </c>
      <c r="F470" s="2046"/>
      <c r="G470" s="2046"/>
      <c r="H470" s="2046"/>
      <c r="I470" s="2046"/>
      <c r="J470" s="2046"/>
      <c r="K470" s="557" t="s">
        <v>364</v>
      </c>
      <c r="L470" s="951" t="s">
        <v>365</v>
      </c>
      <c r="M470" s="540"/>
    </row>
    <row r="471" spans="1:13" ht="15.75" customHeight="1">
      <c r="A471" s="876">
        <v>1</v>
      </c>
      <c r="B471" s="877" t="str">
        <f>'ПРИЛ №3'!C30</f>
        <v>Плавание. Первенство школ</v>
      </c>
      <c r="C471" s="593" t="s">
        <v>1378</v>
      </c>
      <c r="D471" s="594" t="s">
        <v>925</v>
      </c>
      <c r="E471" s="657" t="s">
        <v>1628</v>
      </c>
      <c r="F471" s="594"/>
      <c r="G471" s="594"/>
      <c r="H471" s="594"/>
      <c r="I471" s="594" t="s">
        <v>928</v>
      </c>
      <c r="J471" s="594"/>
      <c r="K471" s="607">
        <f>'ПРИЛ №3'!G30</f>
        <v>1619</v>
      </c>
      <c r="L471" s="955"/>
      <c r="M471" s="540">
        <f>K471-L471</f>
        <v>1619</v>
      </c>
    </row>
    <row r="472" spans="1:13" ht="12">
      <c r="A472" s="608"/>
      <c r="B472" s="596" t="s">
        <v>497</v>
      </c>
      <c r="C472" s="560"/>
      <c r="D472" s="561"/>
      <c r="E472" s="561"/>
      <c r="F472" s="561"/>
      <c r="G472" s="561"/>
      <c r="H472" s="561"/>
      <c r="I472" s="561"/>
      <c r="J472" s="561"/>
      <c r="K472" s="886">
        <f>SUM(K471)</f>
        <v>1619</v>
      </c>
      <c r="L472" s="886">
        <f>SUM(L471)</f>
        <v>0</v>
      </c>
      <c r="M472" s="886">
        <f>SUM(M471)</f>
        <v>1619</v>
      </c>
    </row>
    <row r="473" spans="1:13" ht="12">
      <c r="A473" s="599">
        <v>1</v>
      </c>
      <c r="B473" s="543" t="str">
        <f>'ПРИЛ №3'!C78</f>
        <v>Инвалиды Плавание</v>
      </c>
      <c r="C473" s="598" t="s">
        <v>1726</v>
      </c>
      <c r="D473" s="599" t="s">
        <v>925</v>
      </c>
      <c r="E473" s="599"/>
      <c r="F473" s="599"/>
      <c r="G473" s="599"/>
      <c r="H473" s="599"/>
      <c r="I473" s="599"/>
      <c r="J473" s="599"/>
      <c r="K473" s="1378">
        <f>'ПРИЛ №3'!G78</f>
        <v>1454</v>
      </c>
      <c r="L473" s="1379"/>
      <c r="M473" s="540">
        <f>K473-L473</f>
        <v>1454</v>
      </c>
    </row>
    <row r="474" spans="1:13" ht="12">
      <c r="A474" s="1218"/>
      <c r="B474" s="596" t="s">
        <v>1725</v>
      </c>
      <c r="C474" s="598"/>
      <c r="D474" s="599"/>
      <c r="E474" s="599"/>
      <c r="F474" s="599"/>
      <c r="G474" s="599"/>
      <c r="H474" s="599"/>
      <c r="I474" s="599"/>
      <c r="J474" s="599"/>
      <c r="K474" s="660">
        <f>SUM(K473)</f>
        <v>1454</v>
      </c>
      <c r="L474" s="660">
        <f>SUM(L473)</f>
        <v>0</v>
      </c>
      <c r="M474" s="660">
        <f>SUM(M473)</f>
        <v>1454</v>
      </c>
    </row>
    <row r="475" spans="1:13" ht="33" customHeight="1">
      <c r="A475" s="597">
        <v>1</v>
      </c>
      <c r="B475" s="406" t="s">
        <v>1050</v>
      </c>
      <c r="C475" s="598" t="s">
        <v>1126</v>
      </c>
      <c r="D475" s="438" t="s">
        <v>1425</v>
      </c>
      <c r="E475" s="438" t="s">
        <v>1628</v>
      </c>
      <c r="F475" s="438"/>
      <c r="G475" s="438"/>
      <c r="H475" s="599"/>
      <c r="I475" s="438" t="s">
        <v>541</v>
      </c>
      <c r="J475" s="438"/>
      <c r="K475" s="600">
        <f>'ПРИЛ №3'!G123</f>
        <v>14399</v>
      </c>
      <c r="L475" s="958"/>
      <c r="M475" s="540">
        <f>K475-L475</f>
        <v>14399</v>
      </c>
    </row>
    <row r="476" spans="1:13" s="567" customFormat="1" ht="12">
      <c r="A476" s="522"/>
      <c r="B476" s="596" t="s">
        <v>558</v>
      </c>
      <c r="C476" s="582"/>
      <c r="D476" s="581"/>
      <c r="E476" s="581"/>
      <c r="F476" s="581"/>
      <c r="G476" s="581" t="s">
        <v>318</v>
      </c>
      <c r="H476" s="583"/>
      <c r="I476" s="581" t="s">
        <v>318</v>
      </c>
      <c r="J476" s="581"/>
      <c r="K476" s="584">
        <f>SUM(K475)</f>
        <v>14399</v>
      </c>
      <c r="L476" s="584">
        <f>SUM(L475)</f>
        <v>0</v>
      </c>
      <c r="M476" s="584">
        <f>SUM(M475)</f>
        <v>14399</v>
      </c>
    </row>
    <row r="477" spans="1:13" ht="28.5" customHeight="1">
      <c r="A477" s="522">
        <v>1</v>
      </c>
      <c r="B477" s="406" t="s">
        <v>811</v>
      </c>
      <c r="C477" s="560" t="s">
        <v>203</v>
      </c>
      <c r="D477" s="406" t="s">
        <v>924</v>
      </c>
      <c r="E477" s="406" t="s">
        <v>1628</v>
      </c>
      <c r="F477" s="406"/>
      <c r="G477" s="406"/>
      <c r="H477" s="561"/>
      <c r="I477" s="438" t="s">
        <v>541</v>
      </c>
      <c r="J477" s="406"/>
      <c r="K477" s="580">
        <f>'ПРИЛ №3'!$G$251</f>
        <v>12185</v>
      </c>
      <c r="L477" s="436"/>
      <c r="M477" s="540">
        <f>K477-L477</f>
        <v>12185</v>
      </c>
    </row>
    <row r="478" spans="1:13" s="567" customFormat="1" ht="12">
      <c r="A478" s="522"/>
      <c r="B478" s="581" t="s">
        <v>382</v>
      </c>
      <c r="C478" s="582"/>
      <c r="D478" s="581"/>
      <c r="E478" s="581"/>
      <c r="F478" s="581"/>
      <c r="G478" s="581"/>
      <c r="H478" s="583"/>
      <c r="I478" s="581"/>
      <c r="J478" s="581"/>
      <c r="K478" s="584">
        <f>SUM(K477:K477)</f>
        <v>12185</v>
      </c>
      <c r="L478" s="584">
        <f>SUM(L477:L477)</f>
        <v>0</v>
      </c>
      <c r="M478" s="584">
        <f>SUM(M477:M477)</f>
        <v>12185</v>
      </c>
    </row>
    <row r="479" spans="1:13" s="567" customFormat="1" ht="15.75" customHeight="1">
      <c r="A479" s="522">
        <v>1</v>
      </c>
      <c r="B479" s="245" t="s">
        <v>1849</v>
      </c>
      <c r="C479" s="560" t="s">
        <v>204</v>
      </c>
      <c r="D479" s="406" t="s">
        <v>925</v>
      </c>
      <c r="E479" s="406" t="s">
        <v>1628</v>
      </c>
      <c r="F479" s="581"/>
      <c r="G479" s="581"/>
      <c r="H479" s="583"/>
      <c r="I479" s="438" t="s">
        <v>541</v>
      </c>
      <c r="J479" s="581"/>
      <c r="K479" s="580">
        <f>'ПРИЛ №3'!G266</f>
        <v>11886</v>
      </c>
      <c r="L479" s="953"/>
      <c r="M479" s="540">
        <f>K479-L479</f>
        <v>11886</v>
      </c>
    </row>
    <row r="480" spans="1:13" s="567" customFormat="1" ht="12.75" customHeight="1">
      <c r="A480" s="522"/>
      <c r="B480" s="596" t="s">
        <v>876</v>
      </c>
      <c r="C480" s="582"/>
      <c r="D480" s="406"/>
      <c r="E480" s="581"/>
      <c r="F480" s="581"/>
      <c r="G480" s="581" t="s">
        <v>318</v>
      </c>
      <c r="H480" s="583"/>
      <c r="I480" s="581" t="s">
        <v>318</v>
      </c>
      <c r="J480" s="581"/>
      <c r="K480" s="584">
        <f>SUM(K479)</f>
        <v>11886</v>
      </c>
      <c r="L480" s="584">
        <f>SUM(L479)</f>
        <v>0</v>
      </c>
      <c r="M480" s="584">
        <f>SUM(M479)</f>
        <v>11886</v>
      </c>
    </row>
    <row r="481" spans="1:13" ht="23.25" customHeight="1">
      <c r="A481" s="522"/>
      <c r="B481" s="1229" t="s">
        <v>895</v>
      </c>
      <c r="C481" s="560" t="s">
        <v>1072</v>
      </c>
      <c r="D481" s="406" t="s">
        <v>1425</v>
      </c>
      <c r="E481" s="406" t="s">
        <v>894</v>
      </c>
      <c r="F481" s="406"/>
      <c r="G481" s="406"/>
      <c r="H481" s="561"/>
      <c r="I481" s="438"/>
      <c r="J481" s="406"/>
      <c r="K481" s="580">
        <v>12750</v>
      </c>
      <c r="L481" s="436"/>
      <c r="M481" s="540">
        <f>K481-L481</f>
        <v>12750</v>
      </c>
    </row>
    <row r="482" spans="1:13" ht="16.5" customHeight="1">
      <c r="A482" s="522">
        <v>2</v>
      </c>
      <c r="B482" s="406" t="s">
        <v>94</v>
      </c>
      <c r="C482" s="560" t="s">
        <v>205</v>
      </c>
      <c r="D482" s="406" t="s">
        <v>1649</v>
      </c>
      <c r="E482" s="406" t="s">
        <v>438</v>
      </c>
      <c r="F482" s="406"/>
      <c r="G482" s="406"/>
      <c r="H482" s="561"/>
      <c r="I482" s="438" t="s">
        <v>541</v>
      </c>
      <c r="J482" s="406"/>
      <c r="K482" s="580">
        <f>'ПРИЛ №3'!$G$327</f>
        <v>41180</v>
      </c>
      <c r="L482" s="436"/>
      <c r="M482" s="540">
        <f>K482-L482</f>
        <v>41180</v>
      </c>
    </row>
    <row r="483" spans="1:13" ht="16.5" customHeight="1">
      <c r="A483" s="522">
        <v>3</v>
      </c>
      <c r="B483" s="406" t="s">
        <v>1132</v>
      </c>
      <c r="C483" s="560" t="s">
        <v>205</v>
      </c>
      <c r="D483" s="406" t="s">
        <v>944</v>
      </c>
      <c r="E483" s="406" t="s">
        <v>438</v>
      </c>
      <c r="F483" s="406"/>
      <c r="G483" s="406"/>
      <c r="H483" s="561"/>
      <c r="I483" s="438" t="s">
        <v>541</v>
      </c>
      <c r="J483" s="406"/>
      <c r="K483" s="580">
        <f>'ПРИЛ №3'!$G$370</f>
        <v>7800</v>
      </c>
      <c r="L483" s="436"/>
      <c r="M483" s="540">
        <f>K483-L483</f>
        <v>7800</v>
      </c>
    </row>
    <row r="484" spans="1:13" ht="24" customHeight="1">
      <c r="A484" s="522">
        <v>4</v>
      </c>
      <c r="B484" s="401" t="s">
        <v>1169</v>
      </c>
      <c r="C484" s="560" t="s">
        <v>205</v>
      </c>
      <c r="D484" s="406" t="s">
        <v>944</v>
      </c>
      <c r="E484" s="406" t="s">
        <v>438</v>
      </c>
      <c r="F484" s="406"/>
      <c r="G484" s="406"/>
      <c r="H484" s="561"/>
      <c r="I484" s="438" t="s">
        <v>541</v>
      </c>
      <c r="J484" s="406"/>
      <c r="K484" s="580">
        <f>'ПРИЛ №3'!$G$376</f>
        <v>28050</v>
      </c>
      <c r="L484" s="436"/>
      <c r="M484" s="540">
        <f>K484-L484</f>
        <v>28050</v>
      </c>
    </row>
    <row r="485" spans="1:13" s="567" customFormat="1" ht="15.75" customHeight="1">
      <c r="A485" s="522"/>
      <c r="B485" s="581" t="s">
        <v>560</v>
      </c>
      <c r="C485" s="582"/>
      <c r="D485" s="406"/>
      <c r="E485" s="581"/>
      <c r="F485" s="581"/>
      <c r="G485" s="581"/>
      <c r="H485" s="583"/>
      <c r="I485" s="581"/>
      <c r="J485" s="581"/>
      <c r="K485" s="584">
        <f>SUM(K481:K484)</f>
        <v>89780</v>
      </c>
      <c r="L485" s="584">
        <f>SUM(L481:L484)</f>
        <v>0</v>
      </c>
      <c r="M485" s="584">
        <f>SUM(M481:M484)</f>
        <v>89780</v>
      </c>
    </row>
    <row r="486" spans="1:13" s="574" customFormat="1" ht="12.75" thickBot="1">
      <c r="A486" s="568"/>
      <c r="B486" s="569" t="s">
        <v>56</v>
      </c>
      <c r="C486" s="570"/>
      <c r="D486" s="571"/>
      <c r="E486" s="571"/>
      <c r="F486" s="571"/>
      <c r="G486" s="571"/>
      <c r="H486" s="572"/>
      <c r="I486" s="571"/>
      <c r="J486" s="571"/>
      <c r="K486" s="573">
        <f>SUM(K472,K474,K478,K476,K485,K480)</f>
        <v>131323</v>
      </c>
      <c r="L486" s="573">
        <f>SUM(L472,L474,L478,L476,L485,L480)</f>
        <v>0</v>
      </c>
      <c r="M486" s="573">
        <f>SUM(M472,M474,M478,M476,M485,M480)</f>
        <v>131323</v>
      </c>
    </row>
    <row r="487" spans="1:13" ht="12.75" thickBot="1">
      <c r="A487" s="551" t="s">
        <v>508</v>
      </c>
      <c r="M487" s="540"/>
    </row>
    <row r="488" spans="1:13" ht="14.25" customHeight="1" thickBot="1">
      <c r="A488" s="2047" t="s">
        <v>905</v>
      </c>
      <c r="B488" s="2049" t="s">
        <v>317</v>
      </c>
      <c r="C488" s="2051" t="s">
        <v>1625</v>
      </c>
      <c r="D488" s="549" t="s">
        <v>362</v>
      </c>
      <c r="E488" s="555" t="s">
        <v>363</v>
      </c>
      <c r="F488" s="2045" t="s">
        <v>906</v>
      </c>
      <c r="G488" s="2045" t="s">
        <v>907</v>
      </c>
      <c r="H488" s="2045" t="s">
        <v>359</v>
      </c>
      <c r="I488" s="2045" t="s">
        <v>360</v>
      </c>
      <c r="J488" s="2045" t="s">
        <v>775</v>
      </c>
      <c r="K488" s="2057" t="s">
        <v>366</v>
      </c>
      <c r="L488" s="2058"/>
      <c r="M488" s="540" t="s">
        <v>318</v>
      </c>
    </row>
    <row r="489" spans="1:13" ht="20.25" customHeight="1" thickBot="1">
      <c r="A489" s="2048"/>
      <c r="B489" s="2050"/>
      <c r="C489" s="2052"/>
      <c r="D489" s="550" t="s">
        <v>361</v>
      </c>
      <c r="E489" s="556" t="s">
        <v>361</v>
      </c>
      <c r="F489" s="2046"/>
      <c r="G489" s="2046"/>
      <c r="H489" s="2046"/>
      <c r="I489" s="2046"/>
      <c r="J489" s="2046"/>
      <c r="K489" s="557" t="s">
        <v>364</v>
      </c>
      <c r="L489" s="951" t="s">
        <v>365</v>
      </c>
      <c r="M489" s="540" t="s">
        <v>318</v>
      </c>
    </row>
    <row r="490" spans="1:13" ht="17.25" customHeight="1">
      <c r="A490" s="876">
        <v>1</v>
      </c>
      <c r="B490" s="877" t="str">
        <f>'ПРИЛ №3'!C257</f>
        <v>Чемпионат города по полиатлону</v>
      </c>
      <c r="C490" s="593" t="s">
        <v>203</v>
      </c>
      <c r="D490" s="594" t="s">
        <v>1424</v>
      </c>
      <c r="E490" s="406" t="s">
        <v>1628</v>
      </c>
      <c r="F490" s="594"/>
      <c r="G490" s="594"/>
      <c r="H490" s="594"/>
      <c r="I490" s="406" t="s">
        <v>541</v>
      </c>
      <c r="J490" s="594"/>
      <c r="K490" s="580">
        <f>'ПРИЛ №3'!G257</f>
        <v>7904</v>
      </c>
      <c r="L490" s="955"/>
      <c r="M490" s="540">
        <f aca="true" t="shared" si="11" ref="M490:M512">K490-L490</f>
        <v>7904</v>
      </c>
    </row>
    <row r="491" spans="1:13" ht="12">
      <c r="A491" s="608"/>
      <c r="B491" s="596" t="s">
        <v>382</v>
      </c>
      <c r="C491" s="560"/>
      <c r="D491" s="561"/>
      <c r="E491" s="561"/>
      <c r="F491" s="561"/>
      <c r="G491" s="561"/>
      <c r="H491" s="561"/>
      <c r="I491" s="561"/>
      <c r="J491" s="561"/>
      <c r="K491" s="584">
        <f>SUM(K490:K490)</f>
        <v>7904</v>
      </c>
      <c r="L491" s="584">
        <f>SUM(L490:L490)</f>
        <v>0</v>
      </c>
      <c r="M491" s="584">
        <f>SUM(M490:M490)</f>
        <v>7904</v>
      </c>
    </row>
    <row r="492" spans="1:13" ht="18.75" customHeight="1">
      <c r="A492" s="522">
        <v>1</v>
      </c>
      <c r="B492" s="406" t="s">
        <v>461</v>
      </c>
      <c r="C492" s="560" t="s">
        <v>205</v>
      </c>
      <c r="D492" s="406" t="s">
        <v>1627</v>
      </c>
      <c r="E492" s="406" t="s">
        <v>509</v>
      </c>
      <c r="F492" s="406"/>
      <c r="G492" s="406"/>
      <c r="H492" s="561"/>
      <c r="I492" s="406" t="s">
        <v>541</v>
      </c>
      <c r="J492" s="406"/>
      <c r="K492" s="580">
        <f>'ПРИЛ №3'!$G$281</f>
        <v>49548</v>
      </c>
      <c r="L492" s="436"/>
      <c r="M492" s="540">
        <f t="shared" si="11"/>
        <v>49548</v>
      </c>
    </row>
    <row r="493" spans="1:13" ht="18" customHeight="1">
      <c r="A493" s="522">
        <v>5</v>
      </c>
      <c r="B493" s="406" t="s">
        <v>1433</v>
      </c>
      <c r="C493" s="560" t="s">
        <v>205</v>
      </c>
      <c r="D493" s="406" t="s">
        <v>332</v>
      </c>
      <c r="E493" s="406" t="s">
        <v>48</v>
      </c>
      <c r="F493" s="406"/>
      <c r="G493" s="406"/>
      <c r="H493" s="561"/>
      <c r="I493" s="406" t="s">
        <v>541</v>
      </c>
      <c r="J493" s="406"/>
      <c r="K493" s="580">
        <f>'ПРИЛ №3'!$G$345</f>
        <v>17145</v>
      </c>
      <c r="L493" s="436"/>
      <c r="M493" s="540">
        <f t="shared" si="11"/>
        <v>17145</v>
      </c>
    </row>
    <row r="494" spans="1:13" s="567" customFormat="1" ht="12.75" thickBot="1">
      <c r="A494" s="601"/>
      <c r="B494" s="602" t="s">
        <v>560</v>
      </c>
      <c r="C494" s="603"/>
      <c r="D494" s="604"/>
      <c r="E494" s="604"/>
      <c r="F494" s="604"/>
      <c r="G494" s="604"/>
      <c r="H494" s="605"/>
      <c r="I494" s="604"/>
      <c r="J494" s="604"/>
      <c r="K494" s="606">
        <f>SUM(K492:K493)</f>
        <v>66693</v>
      </c>
      <c r="L494" s="606">
        <f>SUM(L492:L493)</f>
        <v>0</v>
      </c>
      <c r="M494" s="606">
        <f>SUM(M492:M493)</f>
        <v>66693</v>
      </c>
    </row>
    <row r="495" spans="1:13" s="574" customFormat="1" ht="12.75" thickBot="1">
      <c r="A495" s="568"/>
      <c r="B495" s="569" t="s">
        <v>56</v>
      </c>
      <c r="C495" s="570"/>
      <c r="D495" s="571"/>
      <c r="E495" s="571"/>
      <c r="F495" s="571"/>
      <c r="G495" s="571"/>
      <c r="H495" s="572"/>
      <c r="I495" s="571"/>
      <c r="J495" s="571"/>
      <c r="K495" s="573">
        <f>SUM(K494,K490)</f>
        <v>74597</v>
      </c>
      <c r="L495" s="573">
        <f>SUM(L494,L490)</f>
        <v>0</v>
      </c>
      <c r="M495" s="573">
        <f>SUM(M494,M490)</f>
        <v>74597</v>
      </c>
    </row>
    <row r="496" ht="9.75" customHeight="1">
      <c r="M496" s="540"/>
    </row>
    <row r="497" spans="1:13" ht="20.25" customHeight="1" thickBot="1">
      <c r="A497" s="551" t="s">
        <v>1884</v>
      </c>
      <c r="M497" s="540"/>
    </row>
    <row r="498" spans="1:13" ht="9.75" customHeight="1" thickBot="1">
      <c r="A498" s="2047" t="s">
        <v>905</v>
      </c>
      <c r="B498" s="2049" t="s">
        <v>317</v>
      </c>
      <c r="C498" s="2051" t="s">
        <v>1625</v>
      </c>
      <c r="D498" s="549" t="s">
        <v>362</v>
      </c>
      <c r="E498" s="555" t="s">
        <v>363</v>
      </c>
      <c r="F498" s="2045" t="s">
        <v>906</v>
      </c>
      <c r="G498" s="2045" t="s">
        <v>907</v>
      </c>
      <c r="H498" s="2045" t="s">
        <v>359</v>
      </c>
      <c r="I498" s="2045" t="s">
        <v>360</v>
      </c>
      <c r="J498" s="2045" t="s">
        <v>775</v>
      </c>
      <c r="K498" s="2057" t="s">
        <v>366</v>
      </c>
      <c r="L498" s="2058"/>
      <c r="M498" s="540"/>
    </row>
    <row r="499" spans="1:13" ht="9.75" customHeight="1" thickBot="1">
      <c r="A499" s="2048"/>
      <c r="B499" s="2050"/>
      <c r="C499" s="2052"/>
      <c r="D499" s="550" t="s">
        <v>361</v>
      </c>
      <c r="E499" s="556" t="s">
        <v>361</v>
      </c>
      <c r="F499" s="2046"/>
      <c r="G499" s="2046"/>
      <c r="H499" s="2046"/>
      <c r="I499" s="2046"/>
      <c r="J499" s="2046"/>
      <c r="K499" s="557" t="s">
        <v>364</v>
      </c>
      <c r="L499" s="951" t="s">
        <v>365</v>
      </c>
      <c r="M499" s="540"/>
    </row>
    <row r="500" spans="1:13" ht="9.75" customHeight="1" thickBot="1">
      <c r="A500" s="641"/>
      <c r="B500" s="642"/>
      <c r="C500" s="643"/>
      <c r="D500" s="644" t="s">
        <v>361</v>
      </c>
      <c r="E500" s="645" t="s">
        <v>361</v>
      </c>
      <c r="F500" s="644"/>
      <c r="G500" s="645"/>
      <c r="H500" s="550"/>
      <c r="I500" s="645"/>
      <c r="J500" s="644"/>
      <c r="K500" s="646" t="s">
        <v>364</v>
      </c>
      <c r="L500" s="964" t="s">
        <v>365</v>
      </c>
      <c r="M500" s="540"/>
    </row>
    <row r="501" spans="1:13" ht="15.75" customHeight="1">
      <c r="A501" s="522">
        <v>1</v>
      </c>
      <c r="B501" s="264" t="s">
        <v>1632</v>
      </c>
      <c r="C501" s="560" t="s">
        <v>1789</v>
      </c>
      <c r="D501" s="406" t="s">
        <v>1627</v>
      </c>
      <c r="E501" s="406" t="s">
        <v>1628</v>
      </c>
      <c r="F501" s="406"/>
      <c r="G501" s="406"/>
      <c r="H501" s="561"/>
      <c r="I501" s="245" t="s">
        <v>541</v>
      </c>
      <c r="J501" s="406"/>
      <c r="K501" s="580">
        <f>'ПРИЛ №3'!G201</f>
        <v>13500</v>
      </c>
      <c r="L501" s="436"/>
      <c r="M501" s="540">
        <f t="shared" si="11"/>
        <v>13500</v>
      </c>
    </row>
    <row r="502" spans="1:13" ht="18" customHeight="1">
      <c r="A502" s="597">
        <v>2</v>
      </c>
      <c r="B502" s="406" t="s">
        <v>1632</v>
      </c>
      <c r="C502" s="598" t="s">
        <v>1789</v>
      </c>
      <c r="D502" s="438" t="s">
        <v>1650</v>
      </c>
      <c r="E502" s="438" t="s">
        <v>1628</v>
      </c>
      <c r="F502" s="438"/>
      <c r="G502" s="438"/>
      <c r="H502" s="599"/>
      <c r="I502" s="543" t="s">
        <v>541</v>
      </c>
      <c r="J502" s="438"/>
      <c r="K502" s="600">
        <f>'ПРИЛ №3'!G213</f>
        <v>9000</v>
      </c>
      <c r="L502" s="958"/>
      <c r="M502" s="540">
        <f t="shared" si="11"/>
        <v>9000</v>
      </c>
    </row>
    <row r="503" spans="1:13" s="567" customFormat="1" ht="14.25" customHeight="1">
      <c r="A503" s="522"/>
      <c r="B503" s="596" t="s">
        <v>1880</v>
      </c>
      <c r="C503" s="582"/>
      <c r="D503" s="581"/>
      <c r="E503" s="581"/>
      <c r="F503" s="581"/>
      <c r="G503" s="581"/>
      <c r="H503" s="583"/>
      <c r="I503" s="581"/>
      <c r="J503" s="581"/>
      <c r="K503" s="584">
        <f>SUM(K501:K502)</f>
        <v>22500</v>
      </c>
      <c r="L503" s="584">
        <f>SUM(L501:L502)</f>
        <v>0</v>
      </c>
      <c r="M503" s="584">
        <f>SUM(M501:M502)</f>
        <v>22500</v>
      </c>
    </row>
    <row r="504" spans="1:13" s="551" customFormat="1" ht="25.5" customHeight="1">
      <c r="A504" s="562">
        <v>1</v>
      </c>
      <c r="B504" s="870" t="str">
        <f>'ПРИЛ №3'!C245</f>
        <v>Чемпионат города по стрельбе из табельного оружия</v>
      </c>
      <c r="C504" s="598" t="s">
        <v>203</v>
      </c>
      <c r="D504" s="1230" t="s">
        <v>1425</v>
      </c>
      <c r="E504" s="1230" t="s">
        <v>1628</v>
      </c>
      <c r="F504" s="657"/>
      <c r="G504" s="657"/>
      <c r="H504" s="657"/>
      <c r="I504" s="870" t="s">
        <v>541</v>
      </c>
      <c r="J504" s="657"/>
      <c r="K504" s="607">
        <f>'ПРИЛ №3'!G245</f>
        <v>7674</v>
      </c>
      <c r="L504" s="1231"/>
      <c r="M504" s="540">
        <f t="shared" si="11"/>
        <v>7674</v>
      </c>
    </row>
    <row r="505" spans="1:13" s="551" customFormat="1" ht="30.75" customHeight="1">
      <c r="A505" s="562">
        <v>2</v>
      </c>
      <c r="B505" s="406" t="s">
        <v>992</v>
      </c>
      <c r="C505" s="598" t="s">
        <v>203</v>
      </c>
      <c r="D505" s="438" t="s">
        <v>1425</v>
      </c>
      <c r="E505" s="438" t="s">
        <v>1628</v>
      </c>
      <c r="F505" s="1215"/>
      <c r="G505" s="1215"/>
      <c r="H505" s="876"/>
      <c r="I505" s="543" t="s">
        <v>541</v>
      </c>
      <c r="J505" s="1215"/>
      <c r="K505" s="595">
        <f>'ПРИЛ №3'!G246</f>
        <v>9002</v>
      </c>
      <c r="L505" s="1216"/>
      <c r="M505" s="540">
        <f t="shared" si="11"/>
        <v>9002</v>
      </c>
    </row>
    <row r="506" spans="1:13" s="551" customFormat="1" ht="17.25" customHeight="1">
      <c r="A506" s="562">
        <v>3</v>
      </c>
      <c r="B506" s="406" t="s">
        <v>1240</v>
      </c>
      <c r="C506" s="598" t="s">
        <v>203</v>
      </c>
      <c r="D506" s="438" t="s">
        <v>1629</v>
      </c>
      <c r="E506" s="438" t="s">
        <v>1628</v>
      </c>
      <c r="F506" s="1215"/>
      <c r="G506" s="1215"/>
      <c r="H506" s="876"/>
      <c r="I506" s="543" t="s">
        <v>541</v>
      </c>
      <c r="J506" s="1215"/>
      <c r="K506" s="595">
        <f>'ПРИЛ №3'!$G$252</f>
        <v>10385</v>
      </c>
      <c r="L506" s="1216"/>
      <c r="M506" s="540">
        <f t="shared" si="11"/>
        <v>10385</v>
      </c>
    </row>
    <row r="507" spans="1:13" s="567" customFormat="1" ht="17.25" customHeight="1">
      <c r="A507" s="562">
        <v>4</v>
      </c>
      <c r="B507" s="264" t="s">
        <v>80</v>
      </c>
      <c r="C507" s="598" t="s">
        <v>203</v>
      </c>
      <c r="D507" s="438" t="s">
        <v>1424</v>
      </c>
      <c r="E507" s="438" t="s">
        <v>1628</v>
      </c>
      <c r="F507" s="563"/>
      <c r="G507" s="563"/>
      <c r="H507" s="565"/>
      <c r="I507" s="245" t="s">
        <v>541</v>
      </c>
      <c r="J507" s="563"/>
      <c r="K507" s="595">
        <f>'ПРИЛ №3'!$G$258</f>
        <v>11846</v>
      </c>
      <c r="L507" s="952"/>
      <c r="M507" s="540">
        <f t="shared" si="11"/>
        <v>11846</v>
      </c>
    </row>
    <row r="508" spans="1:13" s="567" customFormat="1" ht="15" customHeight="1">
      <c r="A508" s="522"/>
      <c r="B508" s="596" t="s">
        <v>382</v>
      </c>
      <c r="C508" s="582"/>
      <c r="D508" s="581"/>
      <c r="E508" s="581"/>
      <c r="F508" s="581"/>
      <c r="G508" s="581"/>
      <c r="H508" s="583"/>
      <c r="I508" s="581"/>
      <c r="J508" s="581"/>
      <c r="K508" s="584">
        <f>SUM(K504:K507)</f>
        <v>38907</v>
      </c>
      <c r="L508" s="584">
        <f>SUM(L504:L507)</f>
        <v>0</v>
      </c>
      <c r="M508" s="584">
        <f>SUM(M504:M507)</f>
        <v>38907</v>
      </c>
    </row>
    <row r="509" spans="1:13" s="551" customFormat="1" ht="33.75" customHeight="1">
      <c r="A509" s="562">
        <v>1</v>
      </c>
      <c r="B509" s="406" t="s">
        <v>1494</v>
      </c>
      <c r="C509" s="598" t="s">
        <v>204</v>
      </c>
      <c r="D509" s="438" t="s">
        <v>923</v>
      </c>
      <c r="E509" s="438" t="s">
        <v>1628</v>
      </c>
      <c r="F509" s="1215"/>
      <c r="G509" s="1215"/>
      <c r="H509" s="876"/>
      <c r="I509" s="543" t="s">
        <v>541</v>
      </c>
      <c r="J509" s="1215"/>
      <c r="K509" s="595">
        <f>'ПРИЛ №3'!$G$261</f>
        <v>6008</v>
      </c>
      <c r="L509" s="1216"/>
      <c r="M509" s="540">
        <f t="shared" si="11"/>
        <v>6008</v>
      </c>
    </row>
    <row r="510" spans="1:13" s="567" customFormat="1" ht="15.75" customHeight="1">
      <c r="A510" s="522"/>
      <c r="B510" s="596" t="s">
        <v>876</v>
      </c>
      <c r="C510" s="582"/>
      <c r="D510" s="438"/>
      <c r="E510" s="581"/>
      <c r="F510" s="581"/>
      <c r="G510" s="581"/>
      <c r="H510" s="583"/>
      <c r="I510" s="581"/>
      <c r="J510" s="581"/>
      <c r="K510" s="584">
        <f>SUM(K509)</f>
        <v>6008</v>
      </c>
      <c r="L510" s="584">
        <f>SUM(L509)</f>
        <v>0</v>
      </c>
      <c r="M510" s="584">
        <f>SUM(M509)</f>
        <v>6008</v>
      </c>
    </row>
    <row r="511" spans="1:13" ht="38.25" customHeight="1">
      <c r="A511" s="562">
        <v>1</v>
      </c>
      <c r="B511" s="406" t="str">
        <f>'ПРИЛ №3'!C318</f>
        <v>Турнир им. Котенева по пулевой стрельбе г.Новосибирск</v>
      </c>
      <c r="C511" s="593" t="s">
        <v>205</v>
      </c>
      <c r="D511" s="438" t="s">
        <v>1425</v>
      </c>
      <c r="E511" s="404" t="s">
        <v>1212</v>
      </c>
      <c r="F511" s="404"/>
      <c r="G511" s="404"/>
      <c r="H511" s="594"/>
      <c r="I511" s="245" t="s">
        <v>541</v>
      </c>
      <c r="J511" s="404"/>
      <c r="K511" s="595">
        <f>'ПРИЛ №3'!$G$318</f>
        <v>21600</v>
      </c>
      <c r="L511" s="957"/>
      <c r="M511" s="540">
        <f t="shared" si="11"/>
        <v>21600</v>
      </c>
    </row>
    <row r="512" spans="1:13" ht="28.5" customHeight="1">
      <c r="A512" s="562">
        <v>2</v>
      </c>
      <c r="B512" s="401" t="s">
        <v>49</v>
      </c>
      <c r="C512" s="593" t="s">
        <v>205</v>
      </c>
      <c r="D512" s="438" t="s">
        <v>1424</v>
      </c>
      <c r="E512" s="404" t="s">
        <v>1207</v>
      </c>
      <c r="F512" s="404"/>
      <c r="G512" s="404"/>
      <c r="H512" s="594"/>
      <c r="I512" s="245" t="s">
        <v>541</v>
      </c>
      <c r="J512" s="404"/>
      <c r="K512" s="595">
        <f>'ПРИЛ №3'!$G$384</f>
        <v>21860</v>
      </c>
      <c r="L512" s="957"/>
      <c r="M512" s="540">
        <f t="shared" si="11"/>
        <v>21860</v>
      </c>
    </row>
    <row r="513" spans="1:13" s="567" customFormat="1" ht="12.75" thickBot="1">
      <c r="A513" s="601"/>
      <c r="B513" s="602" t="s">
        <v>560</v>
      </c>
      <c r="C513" s="603"/>
      <c r="D513" s="604"/>
      <c r="E513" s="604"/>
      <c r="F513" s="604"/>
      <c r="G513" s="604"/>
      <c r="H513" s="605"/>
      <c r="I513" s="604"/>
      <c r="J513" s="604"/>
      <c r="K513" s="606">
        <f>SUM(K511:K512)</f>
        <v>43460</v>
      </c>
      <c r="L513" s="606">
        <f>SUM(L511:L512)</f>
        <v>0</v>
      </c>
      <c r="M513" s="606">
        <f>SUM(M511:M512)</f>
        <v>43460</v>
      </c>
    </row>
    <row r="514" spans="1:13" s="574" customFormat="1" ht="12.75" thickBot="1">
      <c r="A514" s="568"/>
      <c r="B514" s="569" t="s">
        <v>56</v>
      </c>
      <c r="C514" s="570"/>
      <c r="D514" s="571"/>
      <c r="E514" s="571"/>
      <c r="F514" s="571"/>
      <c r="G514" s="571"/>
      <c r="H514" s="572"/>
      <c r="I514" s="571"/>
      <c r="J514" s="571"/>
      <c r="K514" s="573">
        <f>SUM(K503,K508,K510,K513)</f>
        <v>110875</v>
      </c>
      <c r="L514" s="573">
        <f>SUM(L503,L508,L510,L513)</f>
        <v>0</v>
      </c>
      <c r="M514" s="573">
        <f>SUM(M503,M508,M510,M513)</f>
        <v>110875</v>
      </c>
    </row>
    <row r="515" ht="12">
      <c r="M515" s="540"/>
    </row>
    <row r="516" ht="12">
      <c r="M516" s="540"/>
    </row>
    <row r="517" spans="1:13" ht="12.75" thickBot="1">
      <c r="A517" s="551" t="s">
        <v>943</v>
      </c>
      <c r="M517" s="540"/>
    </row>
    <row r="518" spans="1:13" ht="14.25" customHeight="1" thickBot="1">
      <c r="A518" s="2047" t="s">
        <v>905</v>
      </c>
      <c r="B518" s="2049" t="s">
        <v>317</v>
      </c>
      <c r="C518" s="2051" t="s">
        <v>1625</v>
      </c>
      <c r="D518" s="549" t="s">
        <v>362</v>
      </c>
      <c r="E518" s="555" t="s">
        <v>363</v>
      </c>
      <c r="F518" s="2045" t="s">
        <v>906</v>
      </c>
      <c r="G518" s="2045" t="s">
        <v>907</v>
      </c>
      <c r="H518" s="2045" t="s">
        <v>359</v>
      </c>
      <c r="I518" s="2045" t="s">
        <v>360</v>
      </c>
      <c r="J518" s="2045" t="s">
        <v>775</v>
      </c>
      <c r="K518" s="2057" t="s">
        <v>366</v>
      </c>
      <c r="L518" s="2058"/>
      <c r="M518" s="540"/>
    </row>
    <row r="519" spans="1:13" ht="23.25" customHeight="1" thickBot="1">
      <c r="A519" s="2048"/>
      <c r="B519" s="2050"/>
      <c r="C519" s="2052"/>
      <c r="D519" s="550" t="s">
        <v>361</v>
      </c>
      <c r="E519" s="556" t="s">
        <v>361</v>
      </c>
      <c r="F519" s="2046"/>
      <c r="G519" s="2046"/>
      <c r="H519" s="2046"/>
      <c r="I519" s="2046"/>
      <c r="J519" s="2046"/>
      <c r="K519" s="557" t="s">
        <v>364</v>
      </c>
      <c r="L519" s="590"/>
      <c r="M519" s="540"/>
    </row>
    <row r="520" spans="1:13" ht="40.5" customHeight="1">
      <c r="A520" s="876">
        <v>1</v>
      </c>
      <c r="B520" s="657" t="s">
        <v>1589</v>
      </c>
      <c r="C520" s="593" t="s">
        <v>1378</v>
      </c>
      <c r="D520" s="594" t="s">
        <v>1629</v>
      </c>
      <c r="E520" s="594" t="s">
        <v>1628</v>
      </c>
      <c r="F520" s="594"/>
      <c r="G520" s="594"/>
      <c r="H520" s="594"/>
      <c r="I520" s="657" t="s">
        <v>928</v>
      </c>
      <c r="J520" s="594"/>
      <c r="K520" s="607">
        <f>'ПРИЛ №3'!G37</f>
        <v>5267</v>
      </c>
      <c r="L520" s="955"/>
      <c r="M520" s="540">
        <f>K520-L521</f>
        <v>5267</v>
      </c>
    </row>
    <row r="521" spans="1:13" ht="37.5" customHeight="1">
      <c r="A521" s="608">
        <v>2</v>
      </c>
      <c r="B521" s="870" t="s">
        <v>1614</v>
      </c>
      <c r="C521" s="560" t="s">
        <v>1378</v>
      </c>
      <c r="D521" s="561" t="s">
        <v>944</v>
      </c>
      <c r="E521" s="561" t="s">
        <v>1628</v>
      </c>
      <c r="F521" s="561"/>
      <c r="G521" s="561"/>
      <c r="H521" s="561"/>
      <c r="I521" s="870" t="s">
        <v>928</v>
      </c>
      <c r="J521" s="561"/>
      <c r="K521" s="538">
        <f>'ПРИЛ №3'!G40</f>
        <v>4631</v>
      </c>
      <c r="L521" s="956"/>
      <c r="M521" s="540">
        <f>K521-L522</f>
        <v>4631</v>
      </c>
    </row>
    <row r="522" spans="1:13" ht="12.75" thickBot="1">
      <c r="A522" s="608"/>
      <c r="B522" s="602" t="s">
        <v>497</v>
      </c>
      <c r="C522" s="560"/>
      <c r="D522" s="561"/>
      <c r="E522" s="561"/>
      <c r="F522" s="561"/>
      <c r="G522" s="561"/>
      <c r="H522" s="561"/>
      <c r="I522" s="561"/>
      <c r="J522" s="561"/>
      <c r="K522" s="886">
        <f>SUM(K520:K521)</f>
        <v>9898</v>
      </c>
      <c r="L522" s="886">
        <f>SUM(L520:L521)</f>
        <v>0</v>
      </c>
      <c r="M522" s="886">
        <f>SUM(M520:M521)</f>
        <v>9898</v>
      </c>
    </row>
    <row r="523" spans="1:13" ht="23.25" customHeight="1">
      <c r="A523" s="562">
        <v>1</v>
      </c>
      <c r="B523" s="401" t="s">
        <v>826</v>
      </c>
      <c r="C523" s="593" t="s">
        <v>205</v>
      </c>
      <c r="D523" s="404" t="s">
        <v>1649</v>
      </c>
      <c r="E523" s="404" t="s">
        <v>825</v>
      </c>
      <c r="F523" s="404"/>
      <c r="G523" s="404"/>
      <c r="H523" s="594"/>
      <c r="I523" s="401" t="s">
        <v>541</v>
      </c>
      <c r="J523" s="404"/>
      <c r="K523" s="595">
        <f>'ПРИЛ №3'!$G$319</f>
        <v>62400</v>
      </c>
      <c r="L523" s="957"/>
      <c r="M523" s="540">
        <f>K523-L523</f>
        <v>62400</v>
      </c>
    </row>
    <row r="524" spans="1:13" ht="17.25" customHeight="1">
      <c r="A524" s="585">
        <v>2</v>
      </c>
      <c r="B524" s="406" t="str">
        <f>'ПРИЛ №3'!C332</f>
        <v>Лапта. Первенство Сибири. г.Омск</v>
      </c>
      <c r="C524" s="586" t="s">
        <v>205</v>
      </c>
      <c r="D524" s="401"/>
      <c r="E524" s="401" t="s">
        <v>438</v>
      </c>
      <c r="F524" s="401"/>
      <c r="G524" s="401"/>
      <c r="H524" s="587"/>
      <c r="I524" s="438" t="s">
        <v>541</v>
      </c>
      <c r="J524" s="401"/>
      <c r="K524" s="595">
        <f>'ПРИЛ №3'!$G$332</f>
        <v>36000</v>
      </c>
      <c r="L524" s="954"/>
      <c r="M524" s="540">
        <f>K524-L524</f>
        <v>36000</v>
      </c>
    </row>
    <row r="525" spans="1:13" s="567" customFormat="1" ht="12.75" thickBot="1">
      <c r="A525" s="601"/>
      <c r="B525" s="602" t="s">
        <v>560</v>
      </c>
      <c r="C525" s="603"/>
      <c r="D525" s="604"/>
      <c r="E525" s="604"/>
      <c r="F525" s="604"/>
      <c r="G525" s="604"/>
      <c r="H525" s="605"/>
      <c r="I525" s="604"/>
      <c r="J525" s="604"/>
      <c r="K525" s="606">
        <f>SUM(K523:K524)</f>
        <v>98400</v>
      </c>
      <c r="L525" s="606">
        <f>SUM(L523:L524)</f>
        <v>0</v>
      </c>
      <c r="M525" s="606">
        <f>SUM(M523:M524)</f>
        <v>98400</v>
      </c>
    </row>
    <row r="526" spans="1:13" s="574" customFormat="1" ht="12.75" thickBot="1">
      <c r="A526" s="568"/>
      <c r="B526" s="569" t="s">
        <v>56</v>
      </c>
      <c r="C526" s="570"/>
      <c r="D526" s="571"/>
      <c r="E526" s="571"/>
      <c r="F526" s="571"/>
      <c r="G526" s="571"/>
      <c r="H526" s="572"/>
      <c r="I526" s="571"/>
      <c r="J526" s="571"/>
      <c r="K526" s="647">
        <f>SUM(K525,K522)</f>
        <v>108298</v>
      </c>
      <c r="L526" s="647">
        <f>SUM(L525,L522)</f>
        <v>0</v>
      </c>
      <c r="M526" s="647">
        <f>SUM(M525,M522)</f>
        <v>108298</v>
      </c>
    </row>
    <row r="527" ht="12">
      <c r="M527" s="540"/>
    </row>
    <row r="528" spans="1:13" s="551" customFormat="1" ht="12.75" thickBot="1">
      <c r="A528" s="551" t="s">
        <v>1699</v>
      </c>
      <c r="C528" s="653"/>
      <c r="D528" s="654"/>
      <c r="E528" s="654"/>
      <c r="F528" s="654"/>
      <c r="G528" s="654"/>
      <c r="H528" s="655"/>
      <c r="I528" s="654"/>
      <c r="J528" s="654"/>
      <c r="K528" s="656"/>
      <c r="L528" s="654"/>
      <c r="M528" s="540"/>
    </row>
    <row r="529" spans="1:13" ht="20.25" customHeight="1" thickBot="1">
      <c r="A529" s="2047" t="s">
        <v>905</v>
      </c>
      <c r="B529" s="2049" t="s">
        <v>317</v>
      </c>
      <c r="C529" s="2051" t="s">
        <v>1625</v>
      </c>
      <c r="D529" s="549" t="s">
        <v>362</v>
      </c>
      <c r="E529" s="555" t="s">
        <v>363</v>
      </c>
      <c r="F529" s="2045" t="s">
        <v>906</v>
      </c>
      <c r="G529" s="2045" t="s">
        <v>907</v>
      </c>
      <c r="H529" s="2045" t="s">
        <v>359</v>
      </c>
      <c r="I529" s="2045" t="s">
        <v>360</v>
      </c>
      <c r="J529" s="2045" t="s">
        <v>775</v>
      </c>
      <c r="K529" s="951" t="s">
        <v>366</v>
      </c>
      <c r="L529" s="654"/>
      <c r="M529" s="540"/>
    </row>
    <row r="530" spans="1:13" ht="24.75" customHeight="1" thickBot="1">
      <c r="A530" s="2048"/>
      <c r="B530" s="2050"/>
      <c r="C530" s="2052"/>
      <c r="D530" s="550" t="s">
        <v>361</v>
      </c>
      <c r="E530" s="556" t="s">
        <v>361</v>
      </c>
      <c r="F530" s="2046"/>
      <c r="G530" s="2046"/>
      <c r="H530" s="2046"/>
      <c r="I530" s="2046"/>
      <c r="J530" s="2046"/>
      <c r="K530" s="557" t="s">
        <v>364</v>
      </c>
      <c r="L530" s="1105"/>
      <c r="M530" s="540"/>
    </row>
    <row r="531" spans="1:13" ht="30" customHeight="1">
      <c r="A531" s="522">
        <v>1</v>
      </c>
      <c r="B531" s="406" t="s">
        <v>1325</v>
      </c>
      <c r="C531" s="560" t="s">
        <v>1126</v>
      </c>
      <c r="D531" s="406" t="s">
        <v>1425</v>
      </c>
      <c r="E531" s="406" t="s">
        <v>1628</v>
      </c>
      <c r="F531" s="406"/>
      <c r="G531" s="406"/>
      <c r="H531" s="561"/>
      <c r="I531" s="406" t="s">
        <v>541</v>
      </c>
      <c r="J531" s="406"/>
      <c r="K531" s="580">
        <f>'ПРИЛ №3'!$G$126</f>
        <v>8790</v>
      </c>
      <c r="L531" s="436"/>
      <c r="M531" s="540">
        <f>K531-L532</f>
        <v>8790</v>
      </c>
    </row>
    <row r="532" spans="1:13" ht="29.25" customHeight="1">
      <c r="A532" s="522">
        <v>2</v>
      </c>
      <c r="B532" s="264" t="s">
        <v>1851</v>
      </c>
      <c r="C532" s="560" t="s">
        <v>1126</v>
      </c>
      <c r="D532" s="406" t="s">
        <v>944</v>
      </c>
      <c r="E532" s="406" t="s">
        <v>1628</v>
      </c>
      <c r="F532" s="406"/>
      <c r="G532" s="406"/>
      <c r="H532" s="561"/>
      <c r="I532" s="406" t="s">
        <v>541</v>
      </c>
      <c r="J532" s="406"/>
      <c r="K532" s="580">
        <f>'ПРИЛ №3'!$G$172</f>
        <v>7584</v>
      </c>
      <c r="L532" s="436"/>
      <c r="M532" s="540">
        <f>K532-L533</f>
        <v>7584</v>
      </c>
    </row>
    <row r="533" spans="1:13" s="567" customFormat="1" ht="14.25" customHeight="1">
      <c r="A533" s="522"/>
      <c r="B533" s="596" t="s">
        <v>558</v>
      </c>
      <c r="C533" s="582"/>
      <c r="D533" s="581"/>
      <c r="E533" s="581"/>
      <c r="F533" s="581"/>
      <c r="G533" s="581"/>
      <c r="H533" s="583"/>
      <c r="I533" s="581"/>
      <c r="J533" s="581"/>
      <c r="K533" s="584">
        <f>SUM(K531:K532)</f>
        <v>16374</v>
      </c>
      <c r="L533" s="584">
        <f>SUM(L531:L532)</f>
        <v>0</v>
      </c>
      <c r="M533" s="584">
        <f>SUM(M531:M532)</f>
        <v>16374</v>
      </c>
    </row>
    <row r="534" spans="1:13" ht="16.5" customHeight="1">
      <c r="A534" s="522">
        <v>1</v>
      </c>
      <c r="B534" s="543" t="s">
        <v>1061</v>
      </c>
      <c r="C534" s="560" t="s">
        <v>203</v>
      </c>
      <c r="D534" s="406" t="s">
        <v>1627</v>
      </c>
      <c r="E534" s="406" t="s">
        <v>1628</v>
      </c>
      <c r="F534" s="406"/>
      <c r="G534" s="406"/>
      <c r="H534" s="561"/>
      <c r="I534" s="406" t="s">
        <v>541</v>
      </c>
      <c r="J534" s="406"/>
      <c r="K534" s="580">
        <f>'ПРИЛ №3'!$G$232</f>
        <v>11000</v>
      </c>
      <c r="L534" s="436"/>
      <c r="M534" s="540">
        <f>K534-L535</f>
        <v>11000</v>
      </c>
    </row>
    <row r="535" spans="1:13" ht="21.75" customHeight="1">
      <c r="A535" s="522">
        <v>2</v>
      </c>
      <c r="B535" s="406" t="s">
        <v>78</v>
      </c>
      <c r="C535" s="560" t="s">
        <v>203</v>
      </c>
      <c r="D535" s="406" t="s">
        <v>1649</v>
      </c>
      <c r="E535" s="406" t="s">
        <v>1628</v>
      </c>
      <c r="F535" s="406"/>
      <c r="G535" s="406"/>
      <c r="H535" s="561"/>
      <c r="I535" s="406" t="s">
        <v>541</v>
      </c>
      <c r="J535" s="406"/>
      <c r="K535" s="580">
        <f>'ПРИЛ №3'!$G$247</f>
        <v>10100</v>
      </c>
      <c r="L535" s="436"/>
      <c r="M535" s="540">
        <f>K535-L536</f>
        <v>10100</v>
      </c>
    </row>
    <row r="536" spans="1:13" s="567" customFormat="1" ht="12">
      <c r="A536" s="522"/>
      <c r="B536" s="596" t="s">
        <v>382</v>
      </c>
      <c r="C536" s="582"/>
      <c r="D536" s="581"/>
      <c r="E536" s="581"/>
      <c r="F536" s="581"/>
      <c r="G536" s="581"/>
      <c r="H536" s="583"/>
      <c r="I536" s="581"/>
      <c r="J536" s="581"/>
      <c r="K536" s="584">
        <f>SUM(K534:K535)</f>
        <v>21100</v>
      </c>
      <c r="L536" s="584">
        <f>SUM(L534:L535)</f>
        <v>0</v>
      </c>
      <c r="M536" s="584">
        <f>SUM(M534:M535)</f>
        <v>21100</v>
      </c>
    </row>
    <row r="537" spans="1:13" ht="14.25" customHeight="1">
      <c r="A537" s="543">
        <v>1</v>
      </c>
      <c r="B537" s="543" t="s">
        <v>4</v>
      </c>
      <c r="C537" s="560" t="s">
        <v>205</v>
      </c>
      <c r="D537" s="406" t="s">
        <v>3</v>
      </c>
      <c r="E537" s="406" t="s">
        <v>1264</v>
      </c>
      <c r="F537" s="406"/>
      <c r="G537" s="406"/>
      <c r="H537" s="561"/>
      <c r="I537" s="406"/>
      <c r="J537" s="406"/>
      <c r="K537" s="580">
        <f>'ПРИЛ №3'!H289</f>
        <v>12120</v>
      </c>
      <c r="L537" s="436"/>
      <c r="M537" s="540">
        <f>K537-L538</f>
        <v>12120</v>
      </c>
    </row>
    <row r="538" spans="1:13" ht="34.5" customHeight="1">
      <c r="A538" s="522">
        <v>2</v>
      </c>
      <c r="B538" s="406" t="s">
        <v>164</v>
      </c>
      <c r="C538" s="560" t="s">
        <v>205</v>
      </c>
      <c r="D538" s="406" t="s">
        <v>924</v>
      </c>
      <c r="E538" s="406" t="s">
        <v>492</v>
      </c>
      <c r="F538" s="406"/>
      <c r="G538" s="406"/>
      <c r="H538" s="561"/>
      <c r="I538" s="406" t="s">
        <v>541</v>
      </c>
      <c r="J538" s="406"/>
      <c r="K538" s="580">
        <f>'ПРИЛ №3'!$G$292</f>
        <v>18960</v>
      </c>
      <c r="L538" s="436"/>
      <c r="M538" s="540">
        <f>K538-L539</f>
        <v>18960</v>
      </c>
    </row>
    <row r="539" spans="1:13" s="567" customFormat="1" ht="12.75" thickBot="1">
      <c r="A539" s="601"/>
      <c r="B539" s="602" t="s">
        <v>560</v>
      </c>
      <c r="C539" s="603"/>
      <c r="D539" s="604"/>
      <c r="E539" s="604"/>
      <c r="F539" s="604"/>
      <c r="G539" s="604"/>
      <c r="H539" s="605"/>
      <c r="I539" s="604"/>
      <c r="J539" s="604"/>
      <c r="K539" s="606">
        <f>SUM(K537:K538)</f>
        <v>31080</v>
      </c>
      <c r="L539" s="606">
        <f>SUM(L537:L538)</f>
        <v>0</v>
      </c>
      <c r="M539" s="606">
        <f>SUM(M537:M538)</f>
        <v>31080</v>
      </c>
    </row>
    <row r="540" spans="1:13" s="574" customFormat="1" ht="12.75" thickBot="1">
      <c r="A540" s="568"/>
      <c r="B540" s="569" t="s">
        <v>56</v>
      </c>
      <c r="C540" s="570"/>
      <c r="D540" s="571"/>
      <c r="E540" s="571"/>
      <c r="F540" s="571"/>
      <c r="G540" s="571"/>
      <c r="H540" s="572"/>
      <c r="I540" s="571"/>
      <c r="J540" s="571"/>
      <c r="K540" s="573">
        <f>SUM(K536,K539,K533)</f>
        <v>68554</v>
      </c>
      <c r="L540" s="573">
        <f>SUM(L536,L539,L533)</f>
        <v>0</v>
      </c>
      <c r="M540" s="573">
        <f>SUM(M536,M539,M533)</f>
        <v>68554</v>
      </c>
    </row>
    <row r="541" ht="12">
      <c r="M541" s="540"/>
    </row>
    <row r="542" spans="1:13" ht="12.75" thickBot="1">
      <c r="A542" s="551" t="s">
        <v>1488</v>
      </c>
      <c r="M542" s="540"/>
    </row>
    <row r="543" spans="1:13" ht="14.25" customHeight="1" thickBot="1">
      <c r="A543" s="2047" t="s">
        <v>905</v>
      </c>
      <c r="B543" s="2049" t="s">
        <v>317</v>
      </c>
      <c r="C543" s="2051" t="s">
        <v>1625</v>
      </c>
      <c r="D543" s="549" t="s">
        <v>362</v>
      </c>
      <c r="E543" s="555" t="s">
        <v>363</v>
      </c>
      <c r="F543" s="2045" t="s">
        <v>906</v>
      </c>
      <c r="G543" s="2045" t="s">
        <v>907</v>
      </c>
      <c r="H543" s="2045" t="s">
        <v>359</v>
      </c>
      <c r="I543" s="2045" t="s">
        <v>360</v>
      </c>
      <c r="J543" s="2045" t="s">
        <v>775</v>
      </c>
      <c r="K543" s="951" t="s">
        <v>366</v>
      </c>
      <c r="L543" s="1105"/>
      <c r="M543" s="540"/>
    </row>
    <row r="544" spans="1:13" ht="23.25" customHeight="1" thickBot="1">
      <c r="A544" s="2048"/>
      <c r="B544" s="2050"/>
      <c r="C544" s="2052"/>
      <c r="D544" s="550" t="s">
        <v>361</v>
      </c>
      <c r="E544" s="556" t="s">
        <v>361</v>
      </c>
      <c r="F544" s="2046"/>
      <c r="G544" s="2046"/>
      <c r="H544" s="2046"/>
      <c r="I544" s="2046"/>
      <c r="J544" s="2046"/>
      <c r="K544" s="557" t="s">
        <v>364</v>
      </c>
      <c r="L544" s="951" t="s">
        <v>365</v>
      </c>
      <c r="M544" s="540"/>
    </row>
    <row r="545" spans="1:13" s="551" customFormat="1" ht="30.75" customHeight="1">
      <c r="A545" s="522">
        <v>1</v>
      </c>
      <c r="B545" s="406" t="s">
        <v>996</v>
      </c>
      <c r="C545" s="560" t="s">
        <v>1789</v>
      </c>
      <c r="D545" s="406" t="s">
        <v>925</v>
      </c>
      <c r="E545" s="890"/>
      <c r="F545" s="890"/>
      <c r="G545" s="890"/>
      <c r="H545" s="608"/>
      <c r="I545" s="543" t="s">
        <v>541</v>
      </c>
      <c r="J545" s="890"/>
      <c r="K545" s="580">
        <f>'ПРИЛ №3'!G212</f>
        <v>27000</v>
      </c>
      <c r="L545" s="1220"/>
      <c r="M545" s="540">
        <f>K545-L545</f>
        <v>27000</v>
      </c>
    </row>
    <row r="546" spans="1:13" s="567" customFormat="1" ht="12">
      <c r="A546" s="522"/>
      <c r="B546" s="596" t="s">
        <v>1880</v>
      </c>
      <c r="C546" s="582"/>
      <c r="D546" s="406"/>
      <c r="E546" s="581"/>
      <c r="F546" s="581"/>
      <c r="G546" s="581"/>
      <c r="H546" s="583"/>
      <c r="I546" s="581"/>
      <c r="J546" s="581"/>
      <c r="K546" s="584">
        <f>SUM(K545)</f>
        <v>27000</v>
      </c>
      <c r="L546" s="584">
        <f>SUM(L545)</f>
        <v>0</v>
      </c>
      <c r="M546" s="584">
        <f>SUM(M545)</f>
        <v>27000</v>
      </c>
    </row>
    <row r="547" spans="1:13" ht="33" customHeight="1">
      <c r="A547" s="522">
        <v>1</v>
      </c>
      <c r="B547" s="406" t="s">
        <v>1183</v>
      </c>
      <c r="C547" s="560" t="s">
        <v>1790</v>
      </c>
      <c r="D547" s="406" t="s">
        <v>925</v>
      </c>
      <c r="E547" s="406" t="s">
        <v>1628</v>
      </c>
      <c r="F547" s="406"/>
      <c r="G547" s="406"/>
      <c r="H547" s="561"/>
      <c r="I547" s="543" t="s">
        <v>541</v>
      </c>
      <c r="J547" s="406"/>
      <c r="K547" s="580">
        <f>'ПРИЛ №3'!G223</f>
        <v>32973</v>
      </c>
      <c r="L547" s="436"/>
      <c r="M547" s="540">
        <f>K547-L547</f>
        <v>32973</v>
      </c>
    </row>
    <row r="548" spans="1:13" s="567" customFormat="1" ht="12">
      <c r="A548" s="522"/>
      <c r="B548" s="596" t="s">
        <v>333</v>
      </c>
      <c r="C548" s="582"/>
      <c r="D548" s="581"/>
      <c r="E548" s="581"/>
      <c r="F548" s="581"/>
      <c r="G548" s="581"/>
      <c r="H548" s="583"/>
      <c r="I548" s="581"/>
      <c r="J548" s="581"/>
      <c r="K548" s="584">
        <f>SUM(K547)</f>
        <v>32973</v>
      </c>
      <c r="L548" s="584">
        <f>SUM(L547)</f>
        <v>0</v>
      </c>
      <c r="M548" s="584">
        <f>SUM(M547)</f>
        <v>32973</v>
      </c>
    </row>
    <row r="549" spans="1:13" ht="19.5" customHeight="1">
      <c r="A549" s="522">
        <v>1</v>
      </c>
      <c r="B549" s="406" t="s">
        <v>988</v>
      </c>
      <c r="C549" s="560" t="s">
        <v>203</v>
      </c>
      <c r="D549" s="406" t="s">
        <v>924</v>
      </c>
      <c r="E549" s="406" t="s">
        <v>1628</v>
      </c>
      <c r="F549" s="406"/>
      <c r="G549" s="406"/>
      <c r="H549" s="561"/>
      <c r="I549" s="543" t="s">
        <v>541</v>
      </c>
      <c r="J549" s="406"/>
      <c r="K549" s="580">
        <f>'ПРИЛ №3'!$G$238</f>
        <v>6000</v>
      </c>
      <c r="L549" s="436"/>
      <c r="M549" s="540">
        <f>K549-L549</f>
        <v>6000</v>
      </c>
    </row>
    <row r="550" spans="1:13" s="567" customFormat="1" ht="12">
      <c r="A550" s="522"/>
      <c r="B550" s="596" t="s">
        <v>382</v>
      </c>
      <c r="C550" s="582"/>
      <c r="D550" s="581"/>
      <c r="E550" s="581"/>
      <c r="F550" s="581"/>
      <c r="G550" s="581"/>
      <c r="H550" s="583"/>
      <c r="I550" s="581"/>
      <c r="J550" s="581"/>
      <c r="K550" s="584">
        <f>SUM(K549)</f>
        <v>6000</v>
      </c>
      <c r="L550" s="584">
        <f>SUM(L549)</f>
        <v>0</v>
      </c>
      <c r="M550" s="584">
        <f>SUM(M549)</f>
        <v>6000</v>
      </c>
    </row>
    <row r="551" spans="1:13" ht="19.5" customHeight="1">
      <c r="A551" s="543"/>
      <c r="B551" s="1232" t="str">
        <f>'ПРИЛ №3'!C275</f>
        <v>Спорт.гимн. конференция г.Москва</v>
      </c>
      <c r="C551" s="560" t="s">
        <v>1072</v>
      </c>
      <c r="D551" s="406" t="s">
        <v>1627</v>
      </c>
      <c r="E551" s="406" t="s">
        <v>1252</v>
      </c>
      <c r="F551" s="406"/>
      <c r="G551" s="406"/>
      <c r="H551" s="561"/>
      <c r="I551" s="406"/>
      <c r="J551" s="406"/>
      <c r="K551" s="580">
        <f>'ПРИЛ №3'!G275</f>
        <v>12800</v>
      </c>
      <c r="L551" s="1233"/>
      <c r="M551" s="1219">
        <f>K551-L551</f>
        <v>12800</v>
      </c>
    </row>
    <row r="552" spans="1:13" ht="19.5" customHeight="1">
      <c r="A552" s="522">
        <v>1</v>
      </c>
      <c r="B552" s="406" t="s">
        <v>1073</v>
      </c>
      <c r="C552" s="560" t="s">
        <v>205</v>
      </c>
      <c r="D552" s="406" t="s">
        <v>923</v>
      </c>
      <c r="E552" s="406" t="s">
        <v>343</v>
      </c>
      <c r="F552" s="406"/>
      <c r="G552" s="406"/>
      <c r="H552" s="561"/>
      <c r="I552" s="543" t="s">
        <v>541</v>
      </c>
      <c r="J552" s="406"/>
      <c r="K552" s="580">
        <f>'ПРИЛ №3'!$G$288</f>
        <v>7536</v>
      </c>
      <c r="L552" s="436"/>
      <c r="M552" s="540">
        <f>K552-L552</f>
        <v>7536</v>
      </c>
    </row>
    <row r="553" spans="1:13" ht="19.5" customHeight="1">
      <c r="A553" s="522">
        <v>4</v>
      </c>
      <c r="B553" s="406" t="str">
        <f>'ПРИЛ №3'!C320</f>
        <v>Спорт.гимн.Первенство РФ</v>
      </c>
      <c r="C553" s="560" t="s">
        <v>205</v>
      </c>
      <c r="D553" s="406" t="s">
        <v>1425</v>
      </c>
      <c r="E553" s="406" t="s">
        <v>77</v>
      </c>
      <c r="F553" s="406"/>
      <c r="G553" s="406"/>
      <c r="H553" s="561"/>
      <c r="I553" s="543" t="s">
        <v>541</v>
      </c>
      <c r="J553" s="406"/>
      <c r="K553" s="580">
        <f>'ПРИЛ №3'!$G$320</f>
        <v>14660</v>
      </c>
      <c r="L553" s="436"/>
      <c r="M553" s="540">
        <f>K553-L553</f>
        <v>14660</v>
      </c>
    </row>
    <row r="554" spans="1:13" ht="19.5" customHeight="1">
      <c r="A554" s="522">
        <v>5</v>
      </c>
      <c r="B554" s="401" t="s">
        <v>1619</v>
      </c>
      <c r="C554" s="560" t="s">
        <v>205</v>
      </c>
      <c r="D554" s="406" t="s">
        <v>332</v>
      </c>
      <c r="E554" s="406" t="s">
        <v>343</v>
      </c>
      <c r="F554" s="406"/>
      <c r="G554" s="406"/>
      <c r="H554" s="561"/>
      <c r="I554" s="543" t="s">
        <v>541</v>
      </c>
      <c r="J554" s="406"/>
      <c r="K554" s="580">
        <f>'ПРИЛ №3'!$G$346</f>
        <v>15200</v>
      </c>
      <c r="L554" s="436"/>
      <c r="M554" s="540">
        <f>K554-L554</f>
        <v>15200</v>
      </c>
    </row>
    <row r="555" spans="1:13" s="567" customFormat="1" ht="15.75" customHeight="1" thickBot="1">
      <c r="A555" s="601"/>
      <c r="B555" s="602" t="s">
        <v>560</v>
      </c>
      <c r="C555" s="603"/>
      <c r="D555" s="604"/>
      <c r="E555" s="604"/>
      <c r="F555" s="604"/>
      <c r="G555" s="604"/>
      <c r="H555" s="605"/>
      <c r="I555" s="604"/>
      <c r="J555" s="604"/>
      <c r="K555" s="606">
        <f>SUM(K551:K554)</f>
        <v>50196</v>
      </c>
      <c r="L555" s="606">
        <f>SUM(L551:L554)</f>
        <v>0</v>
      </c>
      <c r="M555" s="606">
        <f>SUM(M551:M554)</f>
        <v>50196</v>
      </c>
    </row>
    <row r="556" spans="1:13" s="574" customFormat="1" ht="16.5" customHeight="1" thickBot="1">
      <c r="A556" s="568"/>
      <c r="B556" s="569" t="s">
        <v>56</v>
      </c>
      <c r="C556" s="570"/>
      <c r="D556" s="571"/>
      <c r="E556" s="571"/>
      <c r="F556" s="571"/>
      <c r="G556" s="571"/>
      <c r="H556" s="572"/>
      <c r="I556" s="571"/>
      <c r="J556" s="571"/>
      <c r="K556" s="573">
        <f>SUM(K546,K548,K550,K555)</f>
        <v>116169</v>
      </c>
      <c r="L556" s="573">
        <f>SUM(L546,L548,L550,L555)</f>
        <v>0</v>
      </c>
      <c r="M556" s="573">
        <f>SUM(M546,M548,M550,M555)</f>
        <v>116169</v>
      </c>
    </row>
    <row r="557" ht="12">
      <c r="M557" s="540"/>
    </row>
    <row r="558" spans="1:13" ht="12.75" thickBot="1">
      <c r="A558" s="551" t="s">
        <v>437</v>
      </c>
      <c r="M558" s="540"/>
    </row>
    <row r="559" spans="1:13" ht="14.25" customHeight="1" thickBot="1">
      <c r="A559" s="2047" t="s">
        <v>905</v>
      </c>
      <c r="B559" s="2049" t="s">
        <v>317</v>
      </c>
      <c r="C559" s="2051" t="s">
        <v>1625</v>
      </c>
      <c r="D559" s="549" t="s">
        <v>362</v>
      </c>
      <c r="E559" s="555" t="s">
        <v>363</v>
      </c>
      <c r="F559" s="2045" t="s">
        <v>906</v>
      </c>
      <c r="G559" s="2045" t="s">
        <v>907</v>
      </c>
      <c r="H559" s="2045" t="s">
        <v>359</v>
      </c>
      <c r="I559" s="2045" t="s">
        <v>360</v>
      </c>
      <c r="J559" s="2045" t="s">
        <v>775</v>
      </c>
      <c r="K559" s="951" t="s">
        <v>366</v>
      </c>
      <c r="L559" s="1105"/>
      <c r="M559" s="540"/>
    </row>
    <row r="560" spans="1:13" ht="24.75" customHeight="1" thickBot="1">
      <c r="A560" s="2048"/>
      <c r="B560" s="2050"/>
      <c r="C560" s="2052"/>
      <c r="D560" s="550" t="s">
        <v>361</v>
      </c>
      <c r="E560" s="556" t="s">
        <v>361</v>
      </c>
      <c r="F560" s="2046"/>
      <c r="G560" s="2046"/>
      <c r="H560" s="2046"/>
      <c r="I560" s="2046"/>
      <c r="J560" s="2046"/>
      <c r="K560" s="557" t="s">
        <v>364</v>
      </c>
      <c r="L560" s="951" t="s">
        <v>365</v>
      </c>
      <c r="M560" s="540"/>
    </row>
    <row r="561" spans="1:13" ht="12" customHeight="1">
      <c r="A561" s="562">
        <v>1</v>
      </c>
      <c r="B561" s="401" t="s">
        <v>1624</v>
      </c>
      <c r="C561" s="593" t="s">
        <v>204</v>
      </c>
      <c r="D561" s="404" t="s">
        <v>923</v>
      </c>
      <c r="E561" s="404" t="s">
        <v>1628</v>
      </c>
      <c r="F561" s="404"/>
      <c r="G561" s="404"/>
      <c r="H561" s="594"/>
      <c r="I561" s="404" t="s">
        <v>541</v>
      </c>
      <c r="J561" s="404"/>
      <c r="K561" s="595">
        <f>'ПРИЛ №3'!G263</f>
        <v>8526</v>
      </c>
      <c r="L561" s="957"/>
      <c r="M561" s="540">
        <f>K561-L561</f>
        <v>8526</v>
      </c>
    </row>
    <row r="562" spans="1:13" s="567" customFormat="1" ht="12" customHeight="1">
      <c r="A562" s="522"/>
      <c r="B562" s="596" t="s">
        <v>876</v>
      </c>
      <c r="C562" s="582"/>
      <c r="D562" s="581"/>
      <c r="E562" s="581"/>
      <c r="F562" s="581"/>
      <c r="G562" s="581"/>
      <c r="H562" s="583"/>
      <c r="I562" s="581"/>
      <c r="J562" s="581"/>
      <c r="K562" s="584">
        <f>SUM(K561:K561)</f>
        <v>8526</v>
      </c>
      <c r="L562" s="584">
        <f>SUM(L561:L561)</f>
        <v>0</v>
      </c>
      <c r="M562" s="584">
        <f>SUM(M561:M561)</f>
        <v>8526</v>
      </c>
    </row>
    <row r="563" spans="1:13" s="574" customFormat="1" ht="12.75" thickBot="1">
      <c r="A563" s="568"/>
      <c r="B563" s="569" t="s">
        <v>56</v>
      </c>
      <c r="C563" s="570"/>
      <c r="D563" s="571"/>
      <c r="E563" s="571"/>
      <c r="F563" s="571"/>
      <c r="G563" s="571"/>
      <c r="H563" s="572"/>
      <c r="I563" s="571"/>
      <c r="J563" s="571"/>
      <c r="K563" s="573">
        <f>SUM(K562)</f>
        <v>8526</v>
      </c>
      <c r="L563" s="573">
        <f>SUM(L562)</f>
        <v>0</v>
      </c>
      <c r="M563" s="573">
        <f>SUM(M562)</f>
        <v>8526</v>
      </c>
    </row>
    <row r="564" ht="12">
      <c r="M564" s="540"/>
    </row>
    <row r="565" spans="1:13" ht="12.75" thickBot="1">
      <c r="A565" s="575" t="s">
        <v>116</v>
      </c>
      <c r="B565" s="588"/>
      <c r="C565" s="589"/>
      <c r="D565" s="402"/>
      <c r="E565" s="402"/>
      <c r="F565" s="402"/>
      <c r="G565" s="402"/>
      <c r="H565" s="590"/>
      <c r="I565" s="402"/>
      <c r="J565" s="402"/>
      <c r="K565" s="591"/>
      <c r="L565" s="402"/>
      <c r="M565" s="540"/>
    </row>
    <row r="566" spans="1:13" ht="14.25" customHeight="1" thickBot="1">
      <c r="A566" s="2047" t="s">
        <v>905</v>
      </c>
      <c r="B566" s="2049" t="s">
        <v>317</v>
      </c>
      <c r="C566" s="2051" t="s">
        <v>1625</v>
      </c>
      <c r="D566" s="549" t="s">
        <v>362</v>
      </c>
      <c r="E566" s="555" t="s">
        <v>363</v>
      </c>
      <c r="F566" s="2045" t="s">
        <v>906</v>
      </c>
      <c r="G566" s="2045" t="s">
        <v>907</v>
      </c>
      <c r="H566" s="2045" t="s">
        <v>359</v>
      </c>
      <c r="I566" s="2045" t="s">
        <v>360</v>
      </c>
      <c r="J566" s="2045" t="s">
        <v>775</v>
      </c>
      <c r="K566" s="951" t="s">
        <v>366</v>
      </c>
      <c r="L566" s="1105"/>
      <c r="M566" s="540"/>
    </row>
    <row r="567" spans="1:13" ht="29.25" customHeight="1" thickBot="1">
      <c r="A567" s="2048"/>
      <c r="B567" s="2050"/>
      <c r="C567" s="2052"/>
      <c r="D567" s="550" t="s">
        <v>361</v>
      </c>
      <c r="E567" s="556" t="s">
        <v>361</v>
      </c>
      <c r="F567" s="2046"/>
      <c r="G567" s="2046"/>
      <c r="H567" s="2046"/>
      <c r="I567" s="2046"/>
      <c r="J567" s="2046"/>
      <c r="K567" s="557" t="s">
        <v>364</v>
      </c>
      <c r="L567" s="951" t="s">
        <v>365</v>
      </c>
      <c r="M567" s="540"/>
    </row>
    <row r="568" spans="1:13" ht="17.25" customHeight="1">
      <c r="A568" s="1234">
        <v>1</v>
      </c>
      <c r="B568" s="543" t="s">
        <v>145</v>
      </c>
      <c r="C568" s="558" t="s">
        <v>203</v>
      </c>
      <c r="D568" s="523" t="s">
        <v>1650</v>
      </c>
      <c r="E568" s="523"/>
      <c r="F568" s="523"/>
      <c r="G568" s="523"/>
      <c r="H568" s="559"/>
      <c r="I568" s="404" t="s">
        <v>541</v>
      </c>
      <c r="J568" s="523"/>
      <c r="K568" s="632">
        <f>'ПРИЛ №3'!$G$250</f>
        <v>6904</v>
      </c>
      <c r="L568" s="961"/>
      <c r="M568" s="540">
        <f>K568-L568</f>
        <v>6904</v>
      </c>
    </row>
    <row r="569" spans="1:13" s="567" customFormat="1" ht="12">
      <c r="A569" s="597"/>
      <c r="B569" s="612" t="s">
        <v>382</v>
      </c>
      <c r="C569" s="613"/>
      <c r="D569" s="610"/>
      <c r="E569" s="610"/>
      <c r="F569" s="610"/>
      <c r="G569" s="610"/>
      <c r="H569" s="611"/>
      <c r="I569" s="581"/>
      <c r="J569" s="610"/>
      <c r="K569" s="614">
        <f aca="true" t="shared" si="12" ref="K569:M570">SUM(K568)</f>
        <v>6904</v>
      </c>
      <c r="L569" s="614">
        <f t="shared" si="12"/>
        <v>0</v>
      </c>
      <c r="M569" s="614">
        <f t="shared" si="12"/>
        <v>6904</v>
      </c>
    </row>
    <row r="570" spans="1:13" s="574" customFormat="1" ht="15.75" customHeight="1" thickBot="1">
      <c r="A570" s="568"/>
      <c r="B570" s="569" t="s">
        <v>56</v>
      </c>
      <c r="C570" s="570"/>
      <c r="D570" s="571"/>
      <c r="E570" s="571"/>
      <c r="F570" s="571"/>
      <c r="G570" s="571"/>
      <c r="H570" s="572"/>
      <c r="I570" s="571"/>
      <c r="J570" s="571"/>
      <c r="K570" s="573">
        <f t="shared" si="12"/>
        <v>6904</v>
      </c>
      <c r="L570" s="573">
        <f t="shared" si="12"/>
        <v>0</v>
      </c>
      <c r="M570" s="573">
        <f t="shared" si="12"/>
        <v>6904</v>
      </c>
    </row>
    <row r="571" spans="1:13" s="574" customFormat="1" ht="12">
      <c r="A571" s="575"/>
      <c r="B571" s="524"/>
      <c r="C571" s="576"/>
      <c r="D571" s="577"/>
      <c r="E571" s="577"/>
      <c r="F571" s="577"/>
      <c r="G571" s="577"/>
      <c r="H571" s="578"/>
      <c r="I571" s="577"/>
      <c r="J571" s="577"/>
      <c r="K571" s="579"/>
      <c r="L571" s="577"/>
      <c r="M571" s="540"/>
    </row>
    <row r="572" spans="1:13" ht="12.75" thickBot="1">
      <c r="A572" s="575" t="s">
        <v>904</v>
      </c>
      <c r="B572" s="588"/>
      <c r="C572" s="589"/>
      <c r="D572" s="402"/>
      <c r="E572" s="402"/>
      <c r="F572" s="402"/>
      <c r="G572" s="402"/>
      <c r="H572" s="590"/>
      <c r="I572" s="402"/>
      <c r="J572" s="402"/>
      <c r="K572" s="591"/>
      <c r="L572" s="402"/>
      <c r="M572" s="540"/>
    </row>
    <row r="573" spans="1:13" ht="14.25" customHeight="1" thickBot="1">
      <c r="A573" s="2047" t="s">
        <v>905</v>
      </c>
      <c r="B573" s="2049" t="s">
        <v>317</v>
      </c>
      <c r="C573" s="2051" t="s">
        <v>1625</v>
      </c>
      <c r="D573" s="549" t="s">
        <v>362</v>
      </c>
      <c r="E573" s="555" t="s">
        <v>363</v>
      </c>
      <c r="F573" s="2045" t="s">
        <v>906</v>
      </c>
      <c r="G573" s="2045" t="s">
        <v>907</v>
      </c>
      <c r="H573" s="2045" t="s">
        <v>359</v>
      </c>
      <c r="I573" s="2045" t="s">
        <v>360</v>
      </c>
      <c r="J573" s="2045" t="s">
        <v>775</v>
      </c>
      <c r="K573" s="951" t="s">
        <v>366</v>
      </c>
      <c r="L573" s="1105"/>
      <c r="M573" s="540"/>
    </row>
    <row r="574" spans="1:13" ht="24.75" customHeight="1" thickBot="1">
      <c r="A574" s="2048"/>
      <c r="B574" s="2050"/>
      <c r="C574" s="2052"/>
      <c r="D574" s="550" t="s">
        <v>361</v>
      </c>
      <c r="E574" s="556" t="s">
        <v>361</v>
      </c>
      <c r="F574" s="2046"/>
      <c r="G574" s="2046"/>
      <c r="H574" s="2046"/>
      <c r="I574" s="2046"/>
      <c r="J574" s="2046"/>
      <c r="K574" s="557" t="s">
        <v>364</v>
      </c>
      <c r="L574" s="951" t="s">
        <v>365</v>
      </c>
      <c r="M574" s="540"/>
    </row>
    <row r="575" spans="1:13" s="551" customFormat="1" ht="19.5" customHeight="1">
      <c r="A575" s="562">
        <v>1</v>
      </c>
      <c r="B575" s="543" t="str">
        <f>'ПРИЛ №3'!C118</f>
        <v>Туризм. Поход выходного дня</v>
      </c>
      <c r="C575" s="593" t="s">
        <v>1126</v>
      </c>
      <c r="D575" s="404" t="s">
        <v>1425</v>
      </c>
      <c r="E575" s="404" t="s">
        <v>1628</v>
      </c>
      <c r="F575" s="404"/>
      <c r="G575" s="404"/>
      <c r="H575" s="594"/>
      <c r="I575" s="406" t="s">
        <v>541</v>
      </c>
      <c r="J575" s="1215"/>
      <c r="K575" s="595">
        <f>'ПРИЛ №3'!G118</f>
        <v>2000</v>
      </c>
      <c r="L575" s="1216"/>
      <c r="M575" s="540">
        <f aca="true" t="shared" si="13" ref="M575:M580">K575-L575</f>
        <v>2000</v>
      </c>
    </row>
    <row r="576" spans="1:13" ht="17.25" customHeight="1">
      <c r="A576" s="562">
        <v>2</v>
      </c>
      <c r="B576" s="543" t="str">
        <f>'ПРИЛ №3'!C127</f>
        <v>Соревнование по водному туризму</v>
      </c>
      <c r="C576" s="593" t="s">
        <v>1126</v>
      </c>
      <c r="D576" s="404" t="s">
        <v>1425</v>
      </c>
      <c r="E576" s="404" t="s">
        <v>1628</v>
      </c>
      <c r="F576" s="404"/>
      <c r="G576" s="404"/>
      <c r="H576" s="594"/>
      <c r="I576" s="406" t="s">
        <v>541</v>
      </c>
      <c r="J576" s="404"/>
      <c r="K576" s="595">
        <f>'ПРИЛ №3'!G127</f>
        <v>6000</v>
      </c>
      <c r="L576" s="957"/>
      <c r="M576" s="540">
        <f t="shared" si="13"/>
        <v>6000</v>
      </c>
    </row>
    <row r="577" spans="1:13" ht="17.25" customHeight="1">
      <c r="A577" s="562">
        <v>3</v>
      </c>
      <c r="B577" s="543" t="s">
        <v>709</v>
      </c>
      <c r="C577" s="560" t="s">
        <v>1126</v>
      </c>
      <c r="D577" s="406" t="s">
        <v>1425</v>
      </c>
      <c r="E577" s="406" t="s">
        <v>1628</v>
      </c>
      <c r="F577" s="406"/>
      <c r="G577" s="406"/>
      <c r="H577" s="561"/>
      <c r="I577" s="406" t="s">
        <v>541</v>
      </c>
      <c r="J577" s="406"/>
      <c r="K577" s="580">
        <f>'ПРИЛ №3'!G133</f>
        <v>7000</v>
      </c>
      <c r="L577" s="436"/>
      <c r="M577" s="540">
        <f t="shared" si="13"/>
        <v>7000</v>
      </c>
    </row>
    <row r="578" spans="1:13" ht="15" customHeight="1">
      <c r="A578" s="562">
        <v>4</v>
      </c>
      <c r="B578" s="245" t="s">
        <v>25</v>
      </c>
      <c r="C578" s="560" t="s">
        <v>1126</v>
      </c>
      <c r="D578" s="406" t="s">
        <v>332</v>
      </c>
      <c r="E578" s="406" t="s">
        <v>1628</v>
      </c>
      <c r="F578" s="406"/>
      <c r="G578" s="406"/>
      <c r="H578" s="561"/>
      <c r="I578" s="406" t="s">
        <v>541</v>
      </c>
      <c r="J578" s="406"/>
      <c r="K578" s="580">
        <f>'ПРИЛ №3'!G144</f>
        <v>9595</v>
      </c>
      <c r="L578" s="436"/>
      <c r="M578" s="540">
        <f t="shared" si="13"/>
        <v>9595</v>
      </c>
    </row>
    <row r="579" spans="1:13" ht="24" customHeight="1">
      <c r="A579" s="562">
        <v>5</v>
      </c>
      <c r="B579" s="264" t="str">
        <f>'ПРИЛ №3'!C157</f>
        <v>Соревнование туристов " Папа, мама,я - спортивная семья"</v>
      </c>
      <c r="C579" s="598" t="s">
        <v>1126</v>
      </c>
      <c r="D579" s="438" t="s">
        <v>1629</v>
      </c>
      <c r="E579" s="438" t="s">
        <v>1628</v>
      </c>
      <c r="F579" s="438"/>
      <c r="G579" s="438"/>
      <c r="H579" s="599"/>
      <c r="I579" s="406" t="s">
        <v>541</v>
      </c>
      <c r="J579" s="438"/>
      <c r="K579" s="600">
        <f>'ПРИЛ №3'!G157</f>
        <v>3000</v>
      </c>
      <c r="L579" s="958"/>
      <c r="M579" s="540">
        <f t="shared" si="13"/>
        <v>3000</v>
      </c>
    </row>
    <row r="580" spans="1:13" ht="18" customHeight="1">
      <c r="A580" s="562">
        <v>6</v>
      </c>
      <c r="B580" s="264" t="s">
        <v>1128</v>
      </c>
      <c r="C580" s="598" t="s">
        <v>1126</v>
      </c>
      <c r="D580" s="438" t="s">
        <v>944</v>
      </c>
      <c r="E580" s="438" t="s">
        <v>1628</v>
      </c>
      <c r="F580" s="438"/>
      <c r="G580" s="438"/>
      <c r="H580" s="599"/>
      <c r="I580" s="406" t="s">
        <v>541</v>
      </c>
      <c r="J580" s="438"/>
      <c r="K580" s="600">
        <f>'ПРИЛ №3'!G173</f>
        <v>5550</v>
      </c>
      <c r="L580" s="958"/>
      <c r="M580" s="540">
        <f t="shared" si="13"/>
        <v>5550</v>
      </c>
    </row>
    <row r="581" spans="1:13" s="567" customFormat="1" ht="15" customHeight="1">
      <c r="A581" s="522"/>
      <c r="B581" s="596" t="s">
        <v>558</v>
      </c>
      <c r="C581" s="582"/>
      <c r="D581" s="581"/>
      <c r="E581" s="581"/>
      <c r="F581" s="581"/>
      <c r="G581" s="581"/>
      <c r="H581" s="583"/>
      <c r="I581" s="581"/>
      <c r="J581" s="581"/>
      <c r="K581" s="584">
        <f>SUM(K575:K580)</f>
        <v>33145</v>
      </c>
      <c r="L581" s="584">
        <f>SUM(L575:L580)</f>
        <v>0</v>
      </c>
      <c r="M581" s="584">
        <f>SUM(M575:M580)</f>
        <v>33145</v>
      </c>
    </row>
    <row r="582" spans="1:13" ht="22.5" customHeight="1">
      <c r="A582" s="522">
        <v>1</v>
      </c>
      <c r="B582" s="401" t="s">
        <v>1180</v>
      </c>
      <c r="C582" s="560" t="s">
        <v>205</v>
      </c>
      <c r="D582" s="406" t="s">
        <v>925</v>
      </c>
      <c r="E582" s="406" t="s">
        <v>51</v>
      </c>
      <c r="F582" s="406"/>
      <c r="G582" s="406"/>
      <c r="H582" s="561"/>
      <c r="I582" s="406" t="s">
        <v>541</v>
      </c>
      <c r="J582" s="406"/>
      <c r="K582" s="580">
        <f>'ПРИЛ №3'!$G$305</f>
        <v>4000</v>
      </c>
      <c r="L582" s="436"/>
      <c r="M582" s="540">
        <f>K582-L582</f>
        <v>4000</v>
      </c>
    </row>
    <row r="583" spans="1:13" s="567" customFormat="1" ht="12.75" thickBot="1">
      <c r="A583" s="601"/>
      <c r="B583" s="602" t="s">
        <v>560</v>
      </c>
      <c r="C583" s="603"/>
      <c r="D583" s="604"/>
      <c r="E583" s="604"/>
      <c r="F583" s="604"/>
      <c r="G583" s="604"/>
      <c r="H583" s="605"/>
      <c r="I583" s="604"/>
      <c r="J583" s="604"/>
      <c r="K583" s="606">
        <f>SUM(K582:K582)</f>
        <v>4000</v>
      </c>
      <c r="L583" s="606">
        <f>SUM(L582:L582)</f>
        <v>0</v>
      </c>
      <c r="M583" s="606">
        <f>SUM(M582:M582)</f>
        <v>4000</v>
      </c>
    </row>
    <row r="584" spans="1:13" s="574" customFormat="1" ht="12.75" thickBot="1">
      <c r="A584" s="568"/>
      <c r="B584" s="569" t="s">
        <v>56</v>
      </c>
      <c r="C584" s="570"/>
      <c r="D584" s="571"/>
      <c r="E584" s="571"/>
      <c r="F584" s="571"/>
      <c r="G584" s="571"/>
      <c r="H584" s="572"/>
      <c r="I584" s="571"/>
      <c r="J584" s="571"/>
      <c r="K584" s="573">
        <f>SUM(K583,K581)</f>
        <v>37145</v>
      </c>
      <c r="L584" s="573">
        <f>SUM(L583,L581)</f>
        <v>0</v>
      </c>
      <c r="M584" s="573">
        <f>SUM(M583,M581)</f>
        <v>37145</v>
      </c>
    </row>
    <row r="585" ht="12">
      <c r="M585" s="540"/>
    </row>
    <row r="586" spans="1:13" ht="12.75" thickBot="1">
      <c r="A586" s="551" t="s">
        <v>940</v>
      </c>
      <c r="M586" s="540"/>
    </row>
    <row r="587" spans="1:13" ht="14.25" customHeight="1" thickBot="1">
      <c r="A587" s="2047" t="s">
        <v>905</v>
      </c>
      <c r="B587" s="2049" t="s">
        <v>317</v>
      </c>
      <c r="C587" s="2051" t="s">
        <v>1625</v>
      </c>
      <c r="D587" s="549" t="s">
        <v>362</v>
      </c>
      <c r="E587" s="555" t="s">
        <v>363</v>
      </c>
      <c r="F587" s="2045" t="s">
        <v>906</v>
      </c>
      <c r="G587" s="2045" t="s">
        <v>907</v>
      </c>
      <c r="H587" s="2045" t="s">
        <v>359</v>
      </c>
      <c r="I587" s="2045" t="s">
        <v>360</v>
      </c>
      <c r="J587" s="2045" t="s">
        <v>775</v>
      </c>
      <c r="K587" s="951" t="s">
        <v>366</v>
      </c>
      <c r="L587" s="1105"/>
      <c r="M587" s="540"/>
    </row>
    <row r="588" spans="1:13" ht="24" customHeight="1" thickBot="1">
      <c r="A588" s="2048"/>
      <c r="B588" s="2050"/>
      <c r="C588" s="2052"/>
      <c r="D588" s="550" t="s">
        <v>361</v>
      </c>
      <c r="E588" s="556" t="s">
        <v>361</v>
      </c>
      <c r="F588" s="2046"/>
      <c r="G588" s="2046"/>
      <c r="H588" s="2046"/>
      <c r="I588" s="2046"/>
      <c r="J588" s="2046"/>
      <c r="K588" s="557" t="s">
        <v>364</v>
      </c>
      <c r="L588" s="951" t="s">
        <v>365</v>
      </c>
      <c r="M588" s="540"/>
    </row>
    <row r="589" spans="1:13" ht="17.25" customHeight="1">
      <c r="A589" s="522">
        <v>1</v>
      </c>
      <c r="B589" s="403" t="s">
        <v>42</v>
      </c>
      <c r="C589" s="560" t="s">
        <v>1789</v>
      </c>
      <c r="D589" s="406" t="s">
        <v>1627</v>
      </c>
      <c r="E589" s="406" t="s">
        <v>1628</v>
      </c>
      <c r="F589" s="406"/>
      <c r="G589" s="406"/>
      <c r="H589" s="561"/>
      <c r="I589" s="245" t="s">
        <v>541</v>
      </c>
      <c r="J589" s="406"/>
      <c r="K589" s="580">
        <f>'ПРИЛ №3'!G202</f>
        <v>13500</v>
      </c>
      <c r="L589" s="436"/>
      <c r="M589" s="540">
        <f>K589-L589</f>
        <v>13500</v>
      </c>
    </row>
    <row r="590" spans="1:13" ht="19.5" customHeight="1">
      <c r="A590" s="562">
        <v>2</v>
      </c>
      <c r="B590" s="406" t="str">
        <f>'ПРИЛ №3'!C220</f>
        <v>УТС к турниру РФ по тяжелой атлетике</v>
      </c>
      <c r="C590" s="593" t="s">
        <v>1789</v>
      </c>
      <c r="D590" s="404" t="s">
        <v>1425</v>
      </c>
      <c r="E590" s="404" t="s">
        <v>1628</v>
      </c>
      <c r="F590" s="404"/>
      <c r="G590" s="404"/>
      <c r="H590" s="594"/>
      <c r="I590" s="543" t="s">
        <v>541</v>
      </c>
      <c r="J590" s="404"/>
      <c r="K590" s="595">
        <f>'ПРИЛ №3'!G220</f>
        <v>11250</v>
      </c>
      <c r="L590" s="957"/>
      <c r="M590" s="540">
        <f>K590-L590</f>
        <v>11250</v>
      </c>
    </row>
    <row r="591" spans="1:13" s="567" customFormat="1" ht="15" customHeight="1">
      <c r="A591" s="562"/>
      <c r="B591" s="592" t="s">
        <v>1880</v>
      </c>
      <c r="C591" s="564"/>
      <c r="D591" s="563"/>
      <c r="E591" s="563"/>
      <c r="F591" s="563"/>
      <c r="G591" s="563"/>
      <c r="H591" s="565"/>
      <c r="I591" s="563"/>
      <c r="J591" s="563"/>
      <c r="K591" s="566">
        <f>SUM(K589:K590)</f>
        <v>24750</v>
      </c>
      <c r="L591" s="566">
        <f>SUM(L589:L590)</f>
        <v>0</v>
      </c>
      <c r="M591" s="566">
        <f>SUM(M589:M590)</f>
        <v>24750</v>
      </c>
    </row>
    <row r="592" spans="1:13" s="567" customFormat="1" ht="26.25" customHeight="1">
      <c r="A592" s="562">
        <v>1</v>
      </c>
      <c r="B592" s="404" t="str">
        <f>'ПРИЛ №3'!C240</f>
        <v>Открытый турнир по тяжелой атлетике среди юношей</v>
      </c>
      <c r="C592" s="593" t="s">
        <v>203</v>
      </c>
      <c r="D592" s="404" t="s">
        <v>925</v>
      </c>
      <c r="E592" s="563"/>
      <c r="F592" s="563"/>
      <c r="G592" s="563"/>
      <c r="H592" s="565"/>
      <c r="I592" s="245" t="s">
        <v>541</v>
      </c>
      <c r="J592" s="563"/>
      <c r="K592" s="580">
        <f>'ПРИЛ №3'!G240</f>
        <v>6001</v>
      </c>
      <c r="L592" s="952"/>
      <c r="M592" s="540">
        <f>K592-L592</f>
        <v>6001</v>
      </c>
    </row>
    <row r="593" spans="1:13" ht="28.5" customHeight="1">
      <c r="A593" s="522">
        <v>2</v>
      </c>
      <c r="B593" s="264" t="s">
        <v>1502</v>
      </c>
      <c r="C593" s="560" t="s">
        <v>203</v>
      </c>
      <c r="D593" s="406" t="s">
        <v>1424</v>
      </c>
      <c r="E593" s="406"/>
      <c r="F593" s="406"/>
      <c r="G593" s="406"/>
      <c r="H593" s="561"/>
      <c r="I593" s="245" t="s">
        <v>541</v>
      </c>
      <c r="J593" s="406"/>
      <c r="K593" s="580">
        <f>'ПРИЛ №3'!G259</f>
        <v>9678</v>
      </c>
      <c r="L593" s="436"/>
      <c r="M593" s="540">
        <f>K593-L593</f>
        <v>9678</v>
      </c>
    </row>
    <row r="594" spans="1:13" s="567" customFormat="1" ht="15" customHeight="1">
      <c r="A594" s="562"/>
      <c r="B594" s="592" t="s">
        <v>382</v>
      </c>
      <c r="C594" s="564"/>
      <c r="D594" s="563"/>
      <c r="E594" s="563"/>
      <c r="F594" s="563"/>
      <c r="G594" s="563"/>
      <c r="H594" s="565"/>
      <c r="I594" s="563"/>
      <c r="J594" s="563"/>
      <c r="K594" s="566">
        <f>SUM(K592:K593)</f>
        <v>15679</v>
      </c>
      <c r="L594" s="566">
        <f>SUM(L592:L593)</f>
        <v>0</v>
      </c>
      <c r="M594" s="566">
        <f>SUM(M592:M593)</f>
        <v>15679</v>
      </c>
    </row>
    <row r="595" spans="1:13" ht="29.25" customHeight="1">
      <c r="A595" s="597">
        <v>1</v>
      </c>
      <c r="B595" s="406" t="s">
        <v>52</v>
      </c>
      <c r="C595" s="598" t="s">
        <v>205</v>
      </c>
      <c r="D595" s="438" t="s">
        <v>924</v>
      </c>
      <c r="E595" s="438" t="s">
        <v>1110</v>
      </c>
      <c r="F595" s="438"/>
      <c r="G595" s="438"/>
      <c r="H595" s="599"/>
      <c r="I595" s="543" t="s">
        <v>541</v>
      </c>
      <c r="J595" s="438"/>
      <c r="K595" s="600">
        <f>'ПРИЛ №3'!$G$294</f>
        <v>32900</v>
      </c>
      <c r="L595" s="958"/>
      <c r="M595" s="540">
        <f>K595-L595</f>
        <v>32900</v>
      </c>
    </row>
    <row r="596" spans="1:13" ht="22.5" customHeight="1">
      <c r="A596" s="597">
        <v>2</v>
      </c>
      <c r="B596" s="406" t="s">
        <v>373</v>
      </c>
      <c r="C596" s="598" t="s">
        <v>205</v>
      </c>
      <c r="D596" s="438" t="s">
        <v>840</v>
      </c>
      <c r="E596" s="438" t="s">
        <v>841</v>
      </c>
      <c r="F596" s="438"/>
      <c r="G596" s="438"/>
      <c r="H596" s="599"/>
      <c r="I596" s="543" t="s">
        <v>541</v>
      </c>
      <c r="J596" s="438"/>
      <c r="K596" s="600">
        <f>'ПРИЛ №3'!$G$295</f>
        <v>12240</v>
      </c>
      <c r="L596" s="958"/>
      <c r="M596" s="540">
        <f>K596-L596</f>
        <v>12240</v>
      </c>
    </row>
    <row r="597" spans="1:13" ht="27" customHeight="1">
      <c r="A597" s="597">
        <v>3</v>
      </c>
      <c r="B597" s="406" t="str">
        <f>'ПРИЛ №3'!C355</f>
        <v>Всероссийский турнир Курынова по тяжелой атлетике г.Казань</v>
      </c>
      <c r="C597" s="598" t="s">
        <v>205</v>
      </c>
      <c r="D597" s="438" t="s">
        <v>1629</v>
      </c>
      <c r="E597" s="438" t="s">
        <v>1111</v>
      </c>
      <c r="F597" s="438"/>
      <c r="G597" s="438"/>
      <c r="H597" s="599"/>
      <c r="I597" s="245" t="s">
        <v>541</v>
      </c>
      <c r="J597" s="438"/>
      <c r="K597" s="600">
        <f>'ПРИЛ №3'!$G$355</f>
        <v>26370</v>
      </c>
      <c r="L597" s="958"/>
      <c r="M597" s="540">
        <f>K597-L597</f>
        <v>26370</v>
      </c>
    </row>
    <row r="598" spans="1:13" s="567" customFormat="1" ht="12.75" thickBot="1">
      <c r="A598" s="597"/>
      <c r="B598" s="612" t="s">
        <v>560</v>
      </c>
      <c r="C598" s="613"/>
      <c r="D598" s="610"/>
      <c r="E598" s="610"/>
      <c r="F598" s="610"/>
      <c r="G598" s="610"/>
      <c r="H598" s="611"/>
      <c r="I598" s="419"/>
      <c r="J598" s="610"/>
      <c r="K598" s="614">
        <f>SUM(K595:K597)</f>
        <v>71510</v>
      </c>
      <c r="L598" s="614">
        <f>SUM(L595:L597)</f>
        <v>0</v>
      </c>
      <c r="M598" s="614">
        <f>SUM(M595:M597)</f>
        <v>71510</v>
      </c>
    </row>
    <row r="599" spans="1:13" s="574" customFormat="1" ht="16.5" customHeight="1" thickBot="1">
      <c r="A599" s="615"/>
      <c r="B599" s="525" t="s">
        <v>56</v>
      </c>
      <c r="C599" s="616"/>
      <c r="D599" s="617"/>
      <c r="E599" s="617"/>
      <c r="F599" s="617"/>
      <c r="G599" s="617"/>
      <c r="H599" s="618"/>
      <c r="I599" s="617"/>
      <c r="J599" s="617"/>
      <c r="K599" s="619">
        <f>SUM(K598,K591,K594)</f>
        <v>111939</v>
      </c>
      <c r="L599" s="619">
        <f>SUM(L598,L591,L594)</f>
        <v>0</v>
      </c>
      <c r="M599" s="619">
        <f>SUM(M598,M591,M594)</f>
        <v>111939</v>
      </c>
    </row>
    <row r="600" ht="12">
      <c r="M600" s="540"/>
    </row>
    <row r="601" spans="1:13" ht="12.75" thickBot="1">
      <c r="A601" s="551" t="s">
        <v>312</v>
      </c>
      <c r="M601" s="540"/>
    </row>
    <row r="602" spans="1:13" ht="14.25" customHeight="1" thickBot="1">
      <c r="A602" s="2047" t="s">
        <v>905</v>
      </c>
      <c r="B602" s="2049" t="s">
        <v>317</v>
      </c>
      <c r="C602" s="2051" t="s">
        <v>1625</v>
      </c>
      <c r="D602" s="549" t="s">
        <v>362</v>
      </c>
      <c r="E602" s="555" t="s">
        <v>363</v>
      </c>
      <c r="F602" s="2045" t="s">
        <v>906</v>
      </c>
      <c r="G602" s="2045" t="s">
        <v>907</v>
      </c>
      <c r="H602" s="2045" t="s">
        <v>359</v>
      </c>
      <c r="I602" s="2045" t="s">
        <v>360</v>
      </c>
      <c r="J602" s="2045" t="s">
        <v>775</v>
      </c>
      <c r="K602" s="951" t="s">
        <v>366</v>
      </c>
      <c r="L602" s="1105"/>
      <c r="M602" s="540"/>
    </row>
    <row r="603" spans="1:13" ht="20.25" customHeight="1" thickBot="1">
      <c r="A603" s="2048"/>
      <c r="B603" s="2050"/>
      <c r="C603" s="2052"/>
      <c r="D603" s="550" t="s">
        <v>361</v>
      </c>
      <c r="E603" s="556" t="s">
        <v>361</v>
      </c>
      <c r="F603" s="2046"/>
      <c r="G603" s="2046"/>
      <c r="H603" s="2046"/>
      <c r="I603" s="2046"/>
      <c r="J603" s="2046"/>
      <c r="K603" s="557" t="s">
        <v>364</v>
      </c>
      <c r="L603" s="951" t="s">
        <v>365</v>
      </c>
      <c r="M603" s="540"/>
    </row>
    <row r="604" spans="1:13" ht="26.25" customHeight="1">
      <c r="A604" s="522">
        <v>4</v>
      </c>
      <c r="B604" s="1235" t="s">
        <v>542</v>
      </c>
      <c r="C604" s="560" t="s">
        <v>1189</v>
      </c>
      <c r="D604" s="404" t="s">
        <v>1649</v>
      </c>
      <c r="E604" s="406" t="s">
        <v>1628</v>
      </c>
      <c r="F604" s="404"/>
      <c r="G604" s="404"/>
      <c r="H604" s="594"/>
      <c r="I604" s="406" t="s">
        <v>541</v>
      </c>
      <c r="J604" s="404"/>
      <c r="K604" s="595">
        <f>'ПРИЛ №3'!G66</f>
        <v>21119</v>
      </c>
      <c r="L604" s="957"/>
      <c r="M604" s="540">
        <f>K604-L604</f>
        <v>21119</v>
      </c>
    </row>
    <row r="605" spans="1:13" s="567" customFormat="1" ht="14.25" customHeight="1">
      <c r="A605" s="562"/>
      <c r="B605" s="563" t="s">
        <v>555</v>
      </c>
      <c r="C605" s="564"/>
      <c r="D605" s="563"/>
      <c r="E605" s="563"/>
      <c r="F605" s="563"/>
      <c r="G605" s="563"/>
      <c r="H605" s="565"/>
      <c r="I605" s="563"/>
      <c r="J605" s="563"/>
      <c r="K605" s="566">
        <f>ROUNDUP(SUM(K604:K604),0)</f>
        <v>21119</v>
      </c>
      <c r="L605" s="566">
        <f>ROUNDUP(SUM(L604:L604),0)</f>
        <v>0</v>
      </c>
      <c r="M605" s="566">
        <f>ROUNDUP(SUM(M604:M604),0)</f>
        <v>21119</v>
      </c>
    </row>
    <row r="606" spans="1:13" ht="17.25" customHeight="1">
      <c r="A606" s="562">
        <v>1</v>
      </c>
      <c r="B606" s="406" t="s">
        <v>1547</v>
      </c>
      <c r="C606" s="593" t="s">
        <v>1126</v>
      </c>
      <c r="D606" s="404" t="s">
        <v>1627</v>
      </c>
      <c r="E606" s="404" t="s">
        <v>1628</v>
      </c>
      <c r="F606" s="404"/>
      <c r="G606" s="404"/>
      <c r="H606" s="594"/>
      <c r="I606" s="404" t="s">
        <v>541</v>
      </c>
      <c r="J606" s="404"/>
      <c r="K606" s="595">
        <f>'ПРИЛ №3'!$G$89</f>
        <v>75417</v>
      </c>
      <c r="L606" s="957"/>
      <c r="M606" s="540">
        <f>K606-L606</f>
        <v>75417</v>
      </c>
    </row>
    <row r="607" spans="1:13" ht="18" customHeight="1">
      <c r="A607" s="522">
        <v>3</v>
      </c>
      <c r="B607" s="543" t="s">
        <v>858</v>
      </c>
      <c r="C607" s="593" t="s">
        <v>1126</v>
      </c>
      <c r="D607" s="406" t="s">
        <v>1649</v>
      </c>
      <c r="E607" s="406" t="s">
        <v>1628</v>
      </c>
      <c r="F607" s="406"/>
      <c r="G607" s="406"/>
      <c r="H607" s="561"/>
      <c r="I607" s="406" t="s">
        <v>541</v>
      </c>
      <c r="J607" s="406"/>
      <c r="K607" s="580">
        <f>'ПРИЛ №3'!G134</f>
        <v>100638</v>
      </c>
      <c r="L607" s="436"/>
      <c r="M607" s="540">
        <f>K607-L607</f>
        <v>100638</v>
      </c>
    </row>
    <row r="608" spans="1:13" ht="20.25" customHeight="1">
      <c r="A608" s="562">
        <v>1</v>
      </c>
      <c r="B608" s="245" t="s">
        <v>1831</v>
      </c>
      <c r="C608" s="593" t="s">
        <v>1126</v>
      </c>
      <c r="D608" s="404" t="s">
        <v>1649</v>
      </c>
      <c r="E608" s="404" t="s">
        <v>1658</v>
      </c>
      <c r="F608" s="404"/>
      <c r="G608" s="404"/>
      <c r="H608" s="594"/>
      <c r="I608" s="264" t="s">
        <v>740</v>
      </c>
      <c r="J608" s="404"/>
      <c r="K608" s="595">
        <f>'ПРИЛ №3'!$G$135</f>
        <v>3635</v>
      </c>
      <c r="L608" s="957"/>
      <c r="M608" s="540">
        <f>K608-L608</f>
        <v>3635</v>
      </c>
    </row>
    <row r="609" spans="1:13" ht="24" customHeight="1">
      <c r="A609" s="562">
        <v>1</v>
      </c>
      <c r="B609" s="245" t="s">
        <v>1899</v>
      </c>
      <c r="C609" s="593" t="s">
        <v>1126</v>
      </c>
      <c r="D609" s="404" t="s">
        <v>1650</v>
      </c>
      <c r="E609" s="404" t="s">
        <v>1426</v>
      </c>
      <c r="F609" s="404"/>
      <c r="G609" s="404"/>
      <c r="H609" s="594"/>
      <c r="I609" s="264" t="s">
        <v>1052</v>
      </c>
      <c r="J609" s="404"/>
      <c r="K609" s="595">
        <f>'ПРИЛ №3'!$G$142</f>
        <v>3033</v>
      </c>
      <c r="L609" s="957"/>
      <c r="M609" s="540">
        <f>K609-L609</f>
        <v>3033</v>
      </c>
    </row>
    <row r="610" spans="1:13" s="567" customFormat="1" ht="12">
      <c r="A610" s="522"/>
      <c r="B610" s="596" t="s">
        <v>558</v>
      </c>
      <c r="C610" s="582"/>
      <c r="D610" s="581"/>
      <c r="E610" s="581"/>
      <c r="F610" s="581"/>
      <c r="G610" s="581"/>
      <c r="H610" s="583"/>
      <c r="I610" s="581"/>
      <c r="J610" s="581"/>
      <c r="K610" s="584">
        <f>SUM(K606:K609)</f>
        <v>182723</v>
      </c>
      <c r="L610" s="584">
        <f>SUM(L606:L609)</f>
        <v>0</v>
      </c>
      <c r="M610" s="584">
        <f>SUM(M606:M609)</f>
        <v>182723</v>
      </c>
    </row>
    <row r="611" spans="1:13" s="574" customFormat="1" ht="14.25" customHeight="1" thickBot="1">
      <c r="A611" s="568"/>
      <c r="B611" s="569" t="s">
        <v>56</v>
      </c>
      <c r="C611" s="570"/>
      <c r="D611" s="571"/>
      <c r="E611" s="571"/>
      <c r="F611" s="571"/>
      <c r="G611" s="571"/>
      <c r="H611" s="572"/>
      <c r="I611" s="571"/>
      <c r="J611" s="571"/>
      <c r="K611" s="573">
        <f>K605+K610</f>
        <v>203842</v>
      </c>
      <c r="L611" s="573">
        <f>L605+L610</f>
        <v>0</v>
      </c>
      <c r="M611" s="573">
        <f>M605+M610</f>
        <v>203842</v>
      </c>
    </row>
    <row r="612" spans="1:13" s="574" customFormat="1" ht="12">
      <c r="A612" s="575"/>
      <c r="B612" s="524"/>
      <c r="C612" s="576"/>
      <c r="D612" s="577"/>
      <c r="E612" s="577"/>
      <c r="F612" s="577"/>
      <c r="G612" s="577"/>
      <c r="H612" s="578"/>
      <c r="I612" s="577"/>
      <c r="J612" s="577"/>
      <c r="K612" s="579"/>
      <c r="L612" s="577"/>
      <c r="M612" s="540"/>
    </row>
    <row r="613" spans="1:13" ht="12.75" thickBot="1">
      <c r="A613" s="551" t="s">
        <v>1885</v>
      </c>
      <c r="M613" s="540"/>
    </row>
    <row r="614" spans="1:13" ht="20.25" customHeight="1" thickBot="1">
      <c r="A614" s="2047" t="s">
        <v>905</v>
      </c>
      <c r="B614" s="2049" t="s">
        <v>317</v>
      </c>
      <c r="C614" s="2051" t="s">
        <v>1625</v>
      </c>
      <c r="D614" s="549" t="s">
        <v>362</v>
      </c>
      <c r="E614" s="555" t="s">
        <v>363</v>
      </c>
      <c r="F614" s="2045" t="s">
        <v>906</v>
      </c>
      <c r="G614" s="2045" t="s">
        <v>907</v>
      </c>
      <c r="H614" s="2045" t="s">
        <v>359</v>
      </c>
      <c r="I614" s="2045" t="s">
        <v>360</v>
      </c>
      <c r="J614" s="2045" t="s">
        <v>775</v>
      </c>
      <c r="K614" s="951" t="s">
        <v>366</v>
      </c>
      <c r="L614" s="1105"/>
      <c r="M614" s="540"/>
    </row>
    <row r="615" spans="1:13" ht="20.25" customHeight="1" thickBot="1">
      <c r="A615" s="2054"/>
      <c r="B615" s="2055"/>
      <c r="C615" s="2056"/>
      <c r="D615" s="883" t="s">
        <v>361</v>
      </c>
      <c r="E615" s="590" t="s">
        <v>361</v>
      </c>
      <c r="F615" s="2053"/>
      <c r="G615" s="2053"/>
      <c r="H615" s="2053"/>
      <c r="I615" s="2053"/>
      <c r="J615" s="2053"/>
      <c r="K615" s="884" t="s">
        <v>364</v>
      </c>
      <c r="L615" s="951" t="s">
        <v>365</v>
      </c>
      <c r="M615" s="540"/>
    </row>
    <row r="616" spans="1:13" ht="20.25" customHeight="1">
      <c r="A616" s="608"/>
      <c r="B616" s="1524" t="str">
        <f>'ПРИЛ №3'!C90</f>
        <v>Хоккей .Первенство города</v>
      </c>
      <c r="C616" s="560" t="s">
        <v>1821</v>
      </c>
      <c r="D616" s="561" t="s">
        <v>1825</v>
      </c>
      <c r="E616" s="561" t="s">
        <v>1628</v>
      </c>
      <c r="F616" s="561"/>
      <c r="G616" s="561"/>
      <c r="H616" s="561"/>
      <c r="I616" s="561"/>
      <c r="J616" s="561"/>
      <c r="K616" s="538">
        <f>'ПРИЛ №3'!G90</f>
        <v>88177</v>
      </c>
      <c r="L616" s="590"/>
      <c r="M616" s="540">
        <f aca="true" t="shared" si="14" ref="M616:M621">K616-L616</f>
        <v>88177</v>
      </c>
    </row>
    <row r="617" spans="1:13" ht="27.75" customHeight="1">
      <c r="A617" s="608"/>
      <c r="B617" s="870" t="str">
        <f>'ПРИЛ №3'!C92</f>
        <v>Самусь хоккей встреча ветеранов</v>
      </c>
      <c r="C617" s="560" t="s">
        <v>1126</v>
      </c>
      <c r="D617" s="561" t="s">
        <v>1627</v>
      </c>
      <c r="E617" s="870" t="s">
        <v>1426</v>
      </c>
      <c r="F617" s="561"/>
      <c r="G617" s="561"/>
      <c r="H617" s="561"/>
      <c r="I617" s="406"/>
      <c r="J617" s="561"/>
      <c r="K617" s="538">
        <f>'ПРИЛ №3'!G92</f>
        <v>3268</v>
      </c>
      <c r="L617" s="1236"/>
      <c r="M617" s="540">
        <f t="shared" si="14"/>
        <v>3268</v>
      </c>
    </row>
    <row r="618" spans="1:13" ht="27.75" customHeight="1">
      <c r="A618" s="608">
        <v>1</v>
      </c>
      <c r="B618" s="870" t="str">
        <f>'ПРИЛ №3'!C99</f>
        <v>Соревнования по хоккею, посвященные Дню Защитника Отечества</v>
      </c>
      <c r="C618" s="560" t="s">
        <v>1126</v>
      </c>
      <c r="D618" s="561" t="s">
        <v>923</v>
      </c>
      <c r="E618" s="870" t="s">
        <v>1628</v>
      </c>
      <c r="F618" s="561"/>
      <c r="G618" s="561"/>
      <c r="H618" s="561"/>
      <c r="I618" s="406" t="s">
        <v>1052</v>
      </c>
      <c r="J618" s="561"/>
      <c r="K618" s="538">
        <f>'ПРИЛ №3'!$G$99</f>
        <v>15531</v>
      </c>
      <c r="L618" s="1236"/>
      <c r="M618" s="540">
        <f t="shared" si="14"/>
        <v>15531</v>
      </c>
    </row>
    <row r="619" spans="1:13" ht="21" customHeight="1">
      <c r="A619" s="608">
        <v>2</v>
      </c>
      <c r="B619" s="543" t="s">
        <v>1824</v>
      </c>
      <c r="C619" s="560" t="s">
        <v>1126</v>
      </c>
      <c r="D619" s="561" t="s">
        <v>924</v>
      </c>
      <c r="E619" s="870" t="s">
        <v>1628</v>
      </c>
      <c r="F619" s="561"/>
      <c r="G619" s="561"/>
      <c r="H619" s="561"/>
      <c r="I619" s="406" t="s">
        <v>1052</v>
      </c>
      <c r="J619" s="561"/>
      <c r="K619" s="538">
        <f>'ПРИЛ №3'!$G$107</f>
        <v>25062</v>
      </c>
      <c r="L619" s="1236"/>
      <c r="M619" s="540">
        <f t="shared" si="14"/>
        <v>25062</v>
      </c>
    </row>
    <row r="620" spans="1:13" ht="21" customHeight="1">
      <c r="A620" s="608">
        <v>3</v>
      </c>
      <c r="B620" s="245" t="s">
        <v>1863</v>
      </c>
      <c r="C620" s="560" t="s">
        <v>1126</v>
      </c>
      <c r="D620" s="561" t="s">
        <v>1629</v>
      </c>
      <c r="E620" s="870" t="s">
        <v>1426</v>
      </c>
      <c r="F620" s="561"/>
      <c r="G620" s="561"/>
      <c r="H620" s="561"/>
      <c r="I620" s="264" t="s">
        <v>1052</v>
      </c>
      <c r="J620" s="561"/>
      <c r="K620" s="538">
        <f>'ПРИЛ №3'!$G$162</f>
        <v>2781</v>
      </c>
      <c r="L620" s="1236"/>
      <c r="M620" s="540">
        <f t="shared" si="14"/>
        <v>2781</v>
      </c>
    </row>
    <row r="621" spans="1:13" ht="15.75" customHeight="1">
      <c r="A621" s="522">
        <v>7</v>
      </c>
      <c r="B621" s="245" t="s">
        <v>713</v>
      </c>
      <c r="C621" s="560" t="s">
        <v>1126</v>
      </c>
      <c r="D621" s="406" t="s">
        <v>1424</v>
      </c>
      <c r="E621" s="406" t="s">
        <v>1628</v>
      </c>
      <c r="F621" s="406"/>
      <c r="G621" s="406"/>
      <c r="H621" s="561"/>
      <c r="I621" s="406" t="s">
        <v>541</v>
      </c>
      <c r="J621" s="406"/>
      <c r="K621" s="580">
        <f>'ПРИЛ №3'!G182</f>
        <v>7462</v>
      </c>
      <c r="L621" s="1223"/>
      <c r="M621" s="540">
        <f t="shared" si="14"/>
        <v>7462</v>
      </c>
    </row>
    <row r="622" spans="1:13" s="567" customFormat="1" ht="15" customHeight="1">
      <c r="A622" s="522"/>
      <c r="B622" s="596" t="s">
        <v>558</v>
      </c>
      <c r="C622" s="582"/>
      <c r="D622" s="581"/>
      <c r="E622" s="581"/>
      <c r="F622" s="581"/>
      <c r="G622" s="581"/>
      <c r="H622" s="583"/>
      <c r="I622" s="581"/>
      <c r="J622" s="581"/>
      <c r="K622" s="584">
        <f>SUM(K616:K621)</f>
        <v>142281</v>
      </c>
      <c r="L622" s="584">
        <f>SUM(L616:L621)</f>
        <v>0</v>
      </c>
      <c r="M622" s="584">
        <f>SUM(M616:M621)</f>
        <v>142281</v>
      </c>
    </row>
    <row r="623" spans="1:13" s="574" customFormat="1" ht="12.75" thickBot="1">
      <c r="A623" s="568"/>
      <c r="B623" s="569" t="s">
        <v>56</v>
      </c>
      <c r="C623" s="570"/>
      <c r="D623" s="571"/>
      <c r="E623" s="571"/>
      <c r="F623" s="571"/>
      <c r="G623" s="571"/>
      <c r="H623" s="572"/>
      <c r="I623" s="571"/>
      <c r="J623" s="571"/>
      <c r="K623" s="573">
        <f>K622</f>
        <v>142281</v>
      </c>
      <c r="L623" s="573">
        <f>L622</f>
        <v>0</v>
      </c>
      <c r="M623" s="573">
        <f>M622</f>
        <v>142281</v>
      </c>
    </row>
    <row r="624" ht="12">
      <c r="M624" s="540"/>
    </row>
    <row r="625" spans="1:13" ht="12.75" thickBot="1">
      <c r="A625" s="551" t="s">
        <v>936</v>
      </c>
      <c r="M625" s="540"/>
    </row>
    <row r="626" spans="1:13" ht="14.25" customHeight="1" thickBot="1">
      <c r="A626" s="2047" t="s">
        <v>905</v>
      </c>
      <c r="B626" s="2049" t="s">
        <v>317</v>
      </c>
      <c r="C626" s="2051" t="s">
        <v>1625</v>
      </c>
      <c r="D626" s="549" t="s">
        <v>362</v>
      </c>
      <c r="E626" s="555" t="s">
        <v>363</v>
      </c>
      <c r="F626" s="2045" t="s">
        <v>906</v>
      </c>
      <c r="G626" s="2045" t="s">
        <v>907</v>
      </c>
      <c r="H626" s="2045" t="s">
        <v>359</v>
      </c>
      <c r="I626" s="2045" t="s">
        <v>360</v>
      </c>
      <c r="J626" s="2045" t="s">
        <v>775</v>
      </c>
      <c r="K626" s="951" t="s">
        <v>366</v>
      </c>
      <c r="L626" s="1105"/>
      <c r="M626" s="540"/>
    </row>
    <row r="627" spans="1:13" ht="20.25" customHeight="1" thickBot="1">
      <c r="A627" s="2048"/>
      <c r="B627" s="2050"/>
      <c r="C627" s="2052"/>
      <c r="D627" s="550" t="s">
        <v>361</v>
      </c>
      <c r="E627" s="556" t="s">
        <v>361</v>
      </c>
      <c r="F627" s="2046"/>
      <c r="G627" s="2046"/>
      <c r="H627" s="2046"/>
      <c r="I627" s="2046"/>
      <c r="J627" s="2046"/>
      <c r="K627" s="557" t="s">
        <v>364</v>
      </c>
      <c r="L627" s="951" t="s">
        <v>365</v>
      </c>
      <c r="M627" s="540"/>
    </row>
    <row r="628" spans="1:13" ht="33" customHeight="1">
      <c r="A628" s="522">
        <v>1</v>
      </c>
      <c r="B628" s="264" t="s">
        <v>89</v>
      </c>
      <c r="C628" s="560" t="s">
        <v>1789</v>
      </c>
      <c r="D628" s="406" t="s">
        <v>1629</v>
      </c>
      <c r="E628" s="406" t="s">
        <v>1628</v>
      </c>
      <c r="F628" s="406"/>
      <c r="G628" s="406"/>
      <c r="H628" s="561"/>
      <c r="I628" s="406" t="s">
        <v>541</v>
      </c>
      <c r="J628" s="406"/>
      <c r="K628" s="580">
        <f>'ПРИЛ №3'!G218</f>
        <v>27000</v>
      </c>
      <c r="L628" s="436"/>
      <c r="M628" s="540">
        <f>K628-L628</f>
        <v>27000</v>
      </c>
    </row>
    <row r="629" spans="1:13" s="567" customFormat="1" ht="12">
      <c r="A629" s="522"/>
      <c r="B629" s="581" t="s">
        <v>1880</v>
      </c>
      <c r="C629" s="582"/>
      <c r="D629" s="581"/>
      <c r="E629" s="581"/>
      <c r="F629" s="581"/>
      <c r="G629" s="581"/>
      <c r="H629" s="583"/>
      <c r="I629" s="581"/>
      <c r="J629" s="581"/>
      <c r="K629" s="584">
        <f>SUM(K626:K628)</f>
        <v>27000</v>
      </c>
      <c r="L629" s="584">
        <f>SUM(L626:L628)</f>
        <v>0</v>
      </c>
      <c r="M629" s="584">
        <f>SUM(M626:M628)</f>
        <v>27000</v>
      </c>
    </row>
    <row r="630" spans="1:13" ht="34.5" customHeight="1">
      <c r="A630" s="597">
        <v>1</v>
      </c>
      <c r="B630" s="264" t="s">
        <v>699</v>
      </c>
      <c r="C630" s="598" t="s">
        <v>1790</v>
      </c>
      <c r="D630" s="438" t="s">
        <v>944</v>
      </c>
      <c r="E630" s="438" t="s">
        <v>1628</v>
      </c>
      <c r="F630" s="438"/>
      <c r="G630" s="438"/>
      <c r="H630" s="599"/>
      <c r="I630" s="438" t="s">
        <v>541</v>
      </c>
      <c r="J630" s="438"/>
      <c r="K630" s="600">
        <f>'ПРИЛ №3'!G227</f>
        <v>50311</v>
      </c>
      <c r="L630" s="958"/>
      <c r="M630" s="540">
        <f>K630-L630</f>
        <v>50311</v>
      </c>
    </row>
    <row r="631" spans="1:13" s="567" customFormat="1" ht="12">
      <c r="A631" s="522"/>
      <c r="B631" s="581" t="s">
        <v>333</v>
      </c>
      <c r="C631" s="582"/>
      <c r="D631" s="581"/>
      <c r="E631" s="581"/>
      <c r="F631" s="581"/>
      <c r="G631" s="581"/>
      <c r="H631" s="583"/>
      <c r="I631" s="581"/>
      <c r="J631" s="581"/>
      <c r="K631" s="584">
        <f>SUM(K630)</f>
        <v>50311</v>
      </c>
      <c r="L631" s="584">
        <f>SUM(L630)</f>
        <v>0</v>
      </c>
      <c r="M631" s="584">
        <f>SUM(M630)</f>
        <v>50311</v>
      </c>
    </row>
    <row r="632" spans="1:13" ht="36" customHeight="1">
      <c r="A632" s="562">
        <v>1</v>
      </c>
      <c r="B632" s="406" t="s">
        <v>1141</v>
      </c>
      <c r="C632" s="593" t="s">
        <v>203</v>
      </c>
      <c r="D632" s="404" t="s">
        <v>923</v>
      </c>
      <c r="E632" s="404"/>
      <c r="F632" s="404"/>
      <c r="G632" s="404"/>
      <c r="H632" s="594"/>
      <c r="I632" s="543" t="s">
        <v>541</v>
      </c>
      <c r="J632" s="404"/>
      <c r="K632" s="595">
        <f>'ПРИЛ №3'!G234</f>
        <v>10346</v>
      </c>
      <c r="L632" s="957"/>
      <c r="M632" s="540">
        <f>K632-L632</f>
        <v>10346</v>
      </c>
    </row>
    <row r="633" spans="1:13" s="567" customFormat="1" ht="12">
      <c r="A633" s="522"/>
      <c r="B633" s="581" t="s">
        <v>382</v>
      </c>
      <c r="C633" s="582"/>
      <c r="D633" s="581"/>
      <c r="E633" s="581"/>
      <c r="F633" s="581"/>
      <c r="G633" s="581"/>
      <c r="H633" s="583"/>
      <c r="I633" s="581"/>
      <c r="J633" s="581"/>
      <c r="K633" s="584">
        <f>SUM(K632)</f>
        <v>10346</v>
      </c>
      <c r="L633" s="584">
        <f>SUM(L632)</f>
        <v>0</v>
      </c>
      <c r="M633" s="584">
        <f>SUM(M632)</f>
        <v>10346</v>
      </c>
    </row>
    <row r="634" spans="1:13" ht="32.25" customHeight="1">
      <c r="A634" s="597">
        <v>1</v>
      </c>
      <c r="B634" s="406" t="s">
        <v>160</v>
      </c>
      <c r="C634" s="598" t="s">
        <v>205</v>
      </c>
      <c r="D634" s="438" t="s">
        <v>1425</v>
      </c>
      <c r="E634" s="438" t="s">
        <v>893</v>
      </c>
      <c r="F634" s="438"/>
      <c r="G634" s="438"/>
      <c r="H634" s="599"/>
      <c r="I634" s="543" t="s">
        <v>541</v>
      </c>
      <c r="J634" s="438"/>
      <c r="K634" s="600">
        <f>'ПРИЛ №3'!$G$293</f>
        <v>55320</v>
      </c>
      <c r="L634" s="958"/>
      <c r="M634" s="540">
        <f>K634-L634</f>
        <v>55320</v>
      </c>
    </row>
    <row r="635" spans="1:13" ht="36" customHeight="1">
      <c r="A635" s="597">
        <v>3</v>
      </c>
      <c r="B635" s="406" t="s">
        <v>1423</v>
      </c>
      <c r="C635" s="598" t="s">
        <v>205</v>
      </c>
      <c r="D635" s="438" t="s">
        <v>1629</v>
      </c>
      <c r="E635" s="438" t="s">
        <v>949</v>
      </c>
      <c r="F635" s="438"/>
      <c r="G635" s="438"/>
      <c r="H635" s="599"/>
      <c r="I635" s="245" t="s">
        <v>541</v>
      </c>
      <c r="J635" s="438"/>
      <c r="K635" s="600">
        <f>'ПРИЛ №3'!$G$356</f>
        <v>21600</v>
      </c>
      <c r="L635" s="958"/>
      <c r="M635" s="540">
        <f>K635-L635</f>
        <v>21600</v>
      </c>
    </row>
    <row r="636" spans="1:13" ht="33.75" customHeight="1">
      <c r="A636" s="597">
        <v>4</v>
      </c>
      <c r="B636" s="401" t="s">
        <v>128</v>
      </c>
      <c r="C636" s="598" t="s">
        <v>205</v>
      </c>
      <c r="D636" s="438" t="s">
        <v>1629</v>
      </c>
      <c r="E636" s="438" t="s">
        <v>492</v>
      </c>
      <c r="F636" s="438"/>
      <c r="G636" s="438"/>
      <c r="H636" s="599"/>
      <c r="I636" s="245" t="s">
        <v>541</v>
      </c>
      <c r="J636" s="438"/>
      <c r="K636" s="600">
        <f>'ПРИЛ №3'!$G$357</f>
        <v>14250</v>
      </c>
      <c r="L636" s="958"/>
      <c r="M636" s="540">
        <f>K636-L636</f>
        <v>14250</v>
      </c>
    </row>
    <row r="637" spans="1:13" s="567" customFormat="1" ht="15.75" customHeight="1" thickBot="1">
      <c r="A637" s="601"/>
      <c r="B637" s="602" t="s">
        <v>560</v>
      </c>
      <c r="C637" s="603"/>
      <c r="D637" s="604"/>
      <c r="E637" s="604"/>
      <c r="F637" s="604"/>
      <c r="G637" s="604"/>
      <c r="H637" s="605"/>
      <c r="I637" s="604"/>
      <c r="J637" s="604"/>
      <c r="K637" s="606">
        <f>SUM(K634:K636)</f>
        <v>91170</v>
      </c>
      <c r="L637" s="606">
        <f>SUM(L634:L636)</f>
        <v>0</v>
      </c>
      <c r="M637" s="606">
        <f>SUM(M634:M636)</f>
        <v>91170</v>
      </c>
    </row>
    <row r="638" spans="1:13" s="574" customFormat="1" ht="17.25" customHeight="1" thickBot="1">
      <c r="A638" s="568"/>
      <c r="B638" s="569" t="s">
        <v>56</v>
      </c>
      <c r="C638" s="570"/>
      <c r="D638" s="571"/>
      <c r="E638" s="571"/>
      <c r="F638" s="571"/>
      <c r="G638" s="571"/>
      <c r="H638" s="572"/>
      <c r="I638" s="571"/>
      <c r="J638" s="571"/>
      <c r="K638" s="573">
        <f>SUM(K637,K631,K629,K633)</f>
        <v>178827</v>
      </c>
      <c r="L638" s="573">
        <f>SUM(L637,L631,L629,L633)</f>
        <v>0</v>
      </c>
      <c r="M638" s="573">
        <f>SUM(M637,M631,M629,M633)</f>
        <v>178827</v>
      </c>
    </row>
    <row r="639" ht="12">
      <c r="M639" s="540"/>
    </row>
    <row r="640" spans="1:13" ht="12.75" thickBot="1">
      <c r="A640" s="551" t="s">
        <v>1215</v>
      </c>
      <c r="M640" s="540"/>
    </row>
    <row r="641" spans="1:13" ht="23.25" customHeight="1" thickBot="1">
      <c r="A641" s="2047" t="s">
        <v>905</v>
      </c>
      <c r="B641" s="2049" t="s">
        <v>317</v>
      </c>
      <c r="C641" s="2051" t="s">
        <v>1625</v>
      </c>
      <c r="D641" s="549" t="s">
        <v>362</v>
      </c>
      <c r="E641" s="555" t="s">
        <v>363</v>
      </c>
      <c r="F641" s="2045" t="s">
        <v>906</v>
      </c>
      <c r="G641" s="2045" t="s">
        <v>907</v>
      </c>
      <c r="H641" s="2045" t="s">
        <v>359</v>
      </c>
      <c r="I641" s="2045" t="s">
        <v>360</v>
      </c>
      <c r="J641" s="2045" t="s">
        <v>775</v>
      </c>
      <c r="K641" s="951" t="s">
        <v>366</v>
      </c>
      <c r="L641" s="1105"/>
      <c r="M641" s="540"/>
    </row>
    <row r="642" spans="1:13" ht="22.5" customHeight="1" thickBot="1">
      <c r="A642" s="2048"/>
      <c r="B642" s="2050"/>
      <c r="C642" s="2052"/>
      <c r="D642" s="550" t="s">
        <v>361</v>
      </c>
      <c r="E642" s="556" t="s">
        <v>361</v>
      </c>
      <c r="F642" s="2046"/>
      <c r="G642" s="2046"/>
      <c r="H642" s="2046"/>
      <c r="I642" s="2046"/>
      <c r="J642" s="2046"/>
      <c r="K642" s="557" t="s">
        <v>364</v>
      </c>
      <c r="L642" s="951" t="s">
        <v>365</v>
      </c>
      <c r="M642" s="540"/>
    </row>
    <row r="643" spans="1:13" ht="16.5" customHeight="1">
      <c r="A643" s="876">
        <v>1</v>
      </c>
      <c r="B643" s="882" t="s">
        <v>1615</v>
      </c>
      <c r="C643" s="593" t="s">
        <v>1378</v>
      </c>
      <c r="D643" s="594" t="s">
        <v>944</v>
      </c>
      <c r="E643" s="657" t="s">
        <v>1628</v>
      </c>
      <c r="F643" s="594"/>
      <c r="G643" s="594"/>
      <c r="H643" s="594"/>
      <c r="I643" s="657" t="s">
        <v>928</v>
      </c>
      <c r="J643" s="594"/>
      <c r="K643" s="607">
        <f>'ПРИЛ №3'!G38</f>
        <v>2006</v>
      </c>
      <c r="L643" s="955"/>
      <c r="M643" s="540">
        <f>K643-L643</f>
        <v>2006</v>
      </c>
    </row>
    <row r="644" spans="1:13" ht="12">
      <c r="A644" s="608"/>
      <c r="B644" s="596" t="s">
        <v>497</v>
      </c>
      <c r="C644" s="560"/>
      <c r="D644" s="561"/>
      <c r="E644" s="561"/>
      <c r="F644" s="561"/>
      <c r="G644" s="561"/>
      <c r="H644" s="561"/>
      <c r="I644" s="561"/>
      <c r="J644" s="561"/>
      <c r="K644" s="886">
        <f>SUM(K643)</f>
        <v>2006</v>
      </c>
      <c r="L644" s="886">
        <f>SUM(L643)</f>
        <v>0</v>
      </c>
      <c r="M644" s="886">
        <f>SUM(M643)</f>
        <v>2006</v>
      </c>
    </row>
    <row r="645" spans="1:13" ht="23.25" customHeight="1">
      <c r="A645" s="522">
        <v>1</v>
      </c>
      <c r="B645" s="406" t="s">
        <v>1647</v>
      </c>
      <c r="C645" s="560" t="s">
        <v>1126</v>
      </c>
      <c r="D645" s="406" t="s">
        <v>923</v>
      </c>
      <c r="E645" s="406" t="s">
        <v>1426</v>
      </c>
      <c r="F645" s="406"/>
      <c r="G645" s="406"/>
      <c r="H645" s="561"/>
      <c r="I645" s="406" t="s">
        <v>1052</v>
      </c>
      <c r="J645" s="406"/>
      <c r="K645" s="580">
        <f>'ПРИЛ №3'!$G$101</f>
        <v>2289</v>
      </c>
      <c r="L645" s="436"/>
      <c r="M645" s="540">
        <f aca="true" t="shared" si="15" ref="M645:M654">K645-L645</f>
        <v>2289</v>
      </c>
    </row>
    <row r="646" spans="1:13" ht="24" customHeight="1">
      <c r="A646" s="562">
        <v>6</v>
      </c>
      <c r="B646" s="406" t="str">
        <f>'ПРИЛ №3'!C117</f>
        <v>Первенство по активным шахматам</v>
      </c>
      <c r="C646" s="560" t="s">
        <v>1126</v>
      </c>
      <c r="D646" s="406" t="s">
        <v>925</v>
      </c>
      <c r="E646" s="406" t="s">
        <v>1628</v>
      </c>
      <c r="F646" s="406"/>
      <c r="G646" s="406"/>
      <c r="H646" s="561"/>
      <c r="I646" s="404" t="s">
        <v>541</v>
      </c>
      <c r="J646" s="406"/>
      <c r="K646" s="580">
        <f>'ПРИЛ №3'!G117</f>
        <v>8125</v>
      </c>
      <c r="L646" s="436"/>
      <c r="M646" s="540">
        <f t="shared" si="15"/>
        <v>8125</v>
      </c>
    </row>
    <row r="647" spans="1:13" ht="18" customHeight="1">
      <c r="A647" s="562">
        <v>2</v>
      </c>
      <c r="B647" s="406" t="s">
        <v>1744</v>
      </c>
      <c r="C647" s="560" t="s">
        <v>1126</v>
      </c>
      <c r="D647" s="404" t="s">
        <v>925</v>
      </c>
      <c r="E647" s="406" t="s">
        <v>1426</v>
      </c>
      <c r="F647" s="404"/>
      <c r="G647" s="404"/>
      <c r="H647" s="594"/>
      <c r="I647" s="406" t="s">
        <v>1052</v>
      </c>
      <c r="J647" s="404"/>
      <c r="K647" s="595">
        <f>'ПРИЛ №3'!$G$120</f>
        <v>920</v>
      </c>
      <c r="L647" s="957"/>
      <c r="M647" s="540">
        <f t="shared" si="15"/>
        <v>920</v>
      </c>
    </row>
    <row r="648" spans="1:13" ht="18.75" customHeight="1">
      <c r="A648" s="522">
        <v>1</v>
      </c>
      <c r="B648" s="245" t="s">
        <v>1832</v>
      </c>
      <c r="C648" s="560" t="s">
        <v>1126</v>
      </c>
      <c r="D648" s="406" t="s">
        <v>925</v>
      </c>
      <c r="E648" s="406" t="s">
        <v>1658</v>
      </c>
      <c r="F648" s="406"/>
      <c r="G648" s="406"/>
      <c r="H648" s="561"/>
      <c r="I648" s="264" t="s">
        <v>740</v>
      </c>
      <c r="J648" s="406"/>
      <c r="K648" s="580">
        <f>'ПРИЛ №3'!$G$122</f>
        <v>1084</v>
      </c>
      <c r="L648" s="436"/>
      <c r="M648" s="540">
        <f t="shared" si="15"/>
        <v>1084</v>
      </c>
    </row>
    <row r="649" spans="1:13" ht="19.5" customHeight="1">
      <c r="A649" s="562">
        <v>9</v>
      </c>
      <c r="B649" s="543" t="s">
        <v>1088</v>
      </c>
      <c r="C649" s="560" t="s">
        <v>1126</v>
      </c>
      <c r="D649" s="406" t="s">
        <v>1425</v>
      </c>
      <c r="E649" s="406" t="s">
        <v>1628</v>
      </c>
      <c r="F649" s="406"/>
      <c r="G649" s="406"/>
      <c r="H649" s="561"/>
      <c r="I649" s="404" t="s">
        <v>541</v>
      </c>
      <c r="J649" s="406"/>
      <c r="K649" s="580">
        <f>'ПРИЛ №3'!G129</f>
        <v>1681</v>
      </c>
      <c r="L649" s="436"/>
      <c r="M649" s="540">
        <f>K649-L649</f>
        <v>1681</v>
      </c>
    </row>
    <row r="650" spans="1:13" ht="19.5" customHeight="1">
      <c r="A650" s="562">
        <v>13</v>
      </c>
      <c r="B650" s="543" t="s">
        <v>279</v>
      </c>
      <c r="C650" s="560" t="s">
        <v>1126</v>
      </c>
      <c r="D650" s="406" t="s">
        <v>1629</v>
      </c>
      <c r="E650" s="438" t="s">
        <v>1628</v>
      </c>
      <c r="F650" s="438"/>
      <c r="G650" s="438"/>
      <c r="H650" s="599"/>
      <c r="I650" s="404" t="s">
        <v>541</v>
      </c>
      <c r="J650" s="406"/>
      <c r="K650" s="600">
        <f>'ПРИЛ №3'!G158</f>
        <v>20202</v>
      </c>
      <c r="L650" s="958"/>
      <c r="M650" s="540">
        <f t="shared" si="15"/>
        <v>20202</v>
      </c>
    </row>
    <row r="651" spans="1:13" ht="42.75" customHeight="1">
      <c r="A651" s="522">
        <v>1</v>
      </c>
      <c r="B651" s="264" t="s">
        <v>671</v>
      </c>
      <c r="C651" s="560" t="s">
        <v>1126</v>
      </c>
      <c r="D651" s="406" t="s">
        <v>1629</v>
      </c>
      <c r="E651" s="406" t="s">
        <v>1628</v>
      </c>
      <c r="F651" s="406"/>
      <c r="G651" s="406"/>
      <c r="H651" s="561"/>
      <c r="I651" s="406" t="s">
        <v>541</v>
      </c>
      <c r="J651" s="406"/>
      <c r="K651" s="580">
        <f>'ПРИЛ №3'!$G$167</f>
        <v>14108</v>
      </c>
      <c r="L651" s="436"/>
      <c r="M651" s="540">
        <f t="shared" si="15"/>
        <v>14108</v>
      </c>
    </row>
    <row r="652" spans="1:13" ht="20.25" customHeight="1">
      <c r="A652" s="522">
        <v>3</v>
      </c>
      <c r="B652" s="406" t="s">
        <v>886</v>
      </c>
      <c r="C652" s="560" t="s">
        <v>1126</v>
      </c>
      <c r="D652" s="405" t="s">
        <v>944</v>
      </c>
      <c r="E652" s="406" t="s">
        <v>1628</v>
      </c>
      <c r="F652" s="406"/>
      <c r="G652" s="406"/>
      <c r="H652" s="561"/>
      <c r="I652" s="404" t="s">
        <v>541</v>
      </c>
      <c r="J652" s="406"/>
      <c r="K652" s="580">
        <f>'ПРИЛ №3'!$G$175</f>
        <v>14587</v>
      </c>
      <c r="L652" s="436"/>
      <c r="M652" s="540">
        <f t="shared" si="15"/>
        <v>14587</v>
      </c>
    </row>
    <row r="653" spans="1:13" ht="23.25" customHeight="1">
      <c r="A653" s="562">
        <v>3</v>
      </c>
      <c r="B653" s="245" t="s">
        <v>1853</v>
      </c>
      <c r="C653" s="560" t="s">
        <v>1126</v>
      </c>
      <c r="D653" s="404" t="s">
        <v>944</v>
      </c>
      <c r="E653" s="406" t="s">
        <v>1426</v>
      </c>
      <c r="F653" s="404"/>
      <c r="G653" s="404"/>
      <c r="H653" s="594"/>
      <c r="I653" s="264" t="s">
        <v>1052</v>
      </c>
      <c r="J653" s="404"/>
      <c r="K653" s="595">
        <f>'ПРИЛ №3'!$G$179</f>
        <v>924</v>
      </c>
      <c r="L653" s="957"/>
      <c r="M653" s="540">
        <f t="shared" si="15"/>
        <v>924</v>
      </c>
    </row>
    <row r="654" spans="1:13" ht="26.25" customHeight="1">
      <c r="A654" s="522">
        <v>17</v>
      </c>
      <c r="B654" s="406" t="s">
        <v>1003</v>
      </c>
      <c r="C654" s="560" t="s">
        <v>1126</v>
      </c>
      <c r="D654" s="406" t="s">
        <v>1424</v>
      </c>
      <c r="E654" s="406" t="s">
        <v>1628</v>
      </c>
      <c r="F654" s="406"/>
      <c r="G654" s="406"/>
      <c r="H654" s="561"/>
      <c r="I654" s="406" t="s">
        <v>749</v>
      </c>
      <c r="J654" s="406"/>
      <c r="K654" s="580">
        <f>'ПРИЛ №3'!G183</f>
        <v>14136</v>
      </c>
      <c r="L654" s="436"/>
      <c r="M654" s="540">
        <f t="shared" si="15"/>
        <v>14136</v>
      </c>
    </row>
    <row r="655" spans="1:13" s="567" customFormat="1" ht="12.75" customHeight="1">
      <c r="A655" s="522"/>
      <c r="B655" s="596" t="s">
        <v>558</v>
      </c>
      <c r="C655" s="582"/>
      <c r="D655" s="581"/>
      <c r="E655" s="581"/>
      <c r="F655" s="581"/>
      <c r="G655" s="581"/>
      <c r="H655" s="583"/>
      <c r="I655" s="581"/>
      <c r="J655" s="406" t="s">
        <v>318</v>
      </c>
      <c r="K655" s="584">
        <f>SUM(K645:K654)</f>
        <v>78056</v>
      </c>
      <c r="L655" s="584">
        <f>SUM(L645:L654)</f>
        <v>0</v>
      </c>
      <c r="M655" s="584">
        <f>SUM(M645:M654)</f>
        <v>78056</v>
      </c>
    </row>
    <row r="656" spans="1:13" ht="30.75" customHeight="1">
      <c r="A656" s="522">
        <v>3</v>
      </c>
      <c r="B656" s="406" t="s">
        <v>1290</v>
      </c>
      <c r="C656" s="560" t="s">
        <v>205</v>
      </c>
      <c r="D656" s="406" t="s">
        <v>925</v>
      </c>
      <c r="E656" s="406" t="s">
        <v>1212</v>
      </c>
      <c r="F656" s="406"/>
      <c r="G656" s="406"/>
      <c r="H656" s="561"/>
      <c r="I656" s="404" t="s">
        <v>541</v>
      </c>
      <c r="J656" s="406"/>
      <c r="K656" s="580">
        <f>'ПРИЛ №3'!$G$306</f>
        <v>23160</v>
      </c>
      <c r="L656" s="436"/>
      <c r="M656" s="540">
        <f>K656-L656</f>
        <v>23160</v>
      </c>
    </row>
    <row r="657" spans="1:13" ht="16.5" customHeight="1">
      <c r="A657" s="522">
        <v>4</v>
      </c>
      <c r="B657" s="406" t="s">
        <v>1760</v>
      </c>
      <c r="C657" s="560" t="s">
        <v>205</v>
      </c>
      <c r="D657" s="406" t="s">
        <v>1651</v>
      </c>
      <c r="E657" s="406" t="s">
        <v>1014</v>
      </c>
      <c r="F657" s="406"/>
      <c r="G657" s="406"/>
      <c r="H657" s="561"/>
      <c r="I657" s="404" t="s">
        <v>541</v>
      </c>
      <c r="J657" s="406"/>
      <c r="K657" s="580">
        <f>'ПРИЛ №3'!$G$329</f>
        <v>9520</v>
      </c>
      <c r="L657" s="436"/>
      <c r="M657" s="540">
        <f>K657-L657</f>
        <v>9520</v>
      </c>
    </row>
    <row r="658" spans="1:13" ht="14.25" customHeight="1">
      <c r="A658" s="522">
        <v>5</v>
      </c>
      <c r="B658" s="406" t="s">
        <v>465</v>
      </c>
      <c r="C658" s="560" t="s">
        <v>205</v>
      </c>
      <c r="D658" s="406" t="s">
        <v>1651</v>
      </c>
      <c r="E658" s="406" t="s">
        <v>948</v>
      </c>
      <c r="F658" s="406"/>
      <c r="G658" s="406"/>
      <c r="H658" s="561"/>
      <c r="I658" s="404" t="s">
        <v>541</v>
      </c>
      <c r="J658" s="406"/>
      <c r="K658" s="580">
        <f>'ПРИЛ №3'!$G$330</f>
        <v>5600</v>
      </c>
      <c r="L658" s="436"/>
      <c r="M658" s="540">
        <f>K658-L658</f>
        <v>5600</v>
      </c>
    </row>
    <row r="659" spans="1:13" ht="14.25" customHeight="1">
      <c r="A659" s="522">
        <v>6</v>
      </c>
      <c r="B659" s="543" t="s">
        <v>459</v>
      </c>
      <c r="C659" s="560" t="s">
        <v>205</v>
      </c>
      <c r="D659" s="406" t="s">
        <v>332</v>
      </c>
      <c r="E659" s="406" t="s">
        <v>948</v>
      </c>
      <c r="F659" s="406"/>
      <c r="G659" s="406"/>
      <c r="H659" s="561"/>
      <c r="I659" s="404" t="s">
        <v>541</v>
      </c>
      <c r="J659" s="406"/>
      <c r="K659" s="580">
        <f>'ПРИЛ №3'!$G$347</f>
        <v>2240</v>
      </c>
      <c r="L659" s="436"/>
      <c r="M659" s="540">
        <f>K659-L659</f>
        <v>2240</v>
      </c>
    </row>
    <row r="660" spans="1:13" s="567" customFormat="1" ht="13.5" customHeight="1" thickBot="1">
      <c r="A660" s="601"/>
      <c r="B660" s="602" t="s">
        <v>560</v>
      </c>
      <c r="C660" s="603"/>
      <c r="D660" s="604"/>
      <c r="E660" s="604"/>
      <c r="F660" s="604"/>
      <c r="G660" s="604"/>
      <c r="H660" s="605"/>
      <c r="I660" s="604"/>
      <c r="J660" s="604"/>
      <c r="K660" s="606">
        <f>SUM(K656:K659)</f>
        <v>40520</v>
      </c>
      <c r="L660" s="606">
        <f>SUM(L656:L659)</f>
        <v>0</v>
      </c>
      <c r="M660" s="606">
        <f>SUM(M656:M659)</f>
        <v>40520</v>
      </c>
    </row>
    <row r="661" spans="1:13" s="574" customFormat="1" ht="16.5" customHeight="1" thickBot="1">
      <c r="A661" s="568"/>
      <c r="B661" s="569" t="s">
        <v>56</v>
      </c>
      <c r="C661" s="570"/>
      <c r="D661" s="571"/>
      <c r="E661" s="571"/>
      <c r="F661" s="571"/>
      <c r="G661" s="571"/>
      <c r="H661" s="572"/>
      <c r="I661" s="571"/>
      <c r="J661" s="571"/>
      <c r="K661" s="573">
        <f>SUM(K644,K660,K655)</f>
        <v>120582</v>
      </c>
      <c r="L661" s="573">
        <f>SUM(L644,L660,L655)</f>
        <v>0</v>
      </c>
      <c r="M661" s="573">
        <f>SUM(M644,M660,M655)</f>
        <v>120582</v>
      </c>
    </row>
    <row r="662" spans="1:13" ht="12">
      <c r="A662" s="575"/>
      <c r="B662" s="402"/>
      <c r="C662" s="589"/>
      <c r="D662" s="402"/>
      <c r="E662" s="402"/>
      <c r="F662" s="402"/>
      <c r="G662" s="402"/>
      <c r="H662" s="590"/>
      <c r="I662" s="402"/>
      <c r="J662" s="402"/>
      <c r="K662" s="591"/>
      <c r="L662" s="402"/>
      <c r="M662" s="540"/>
    </row>
    <row r="663" spans="1:13" ht="12.75" thickBot="1">
      <c r="A663" s="551" t="s">
        <v>1396</v>
      </c>
      <c r="M663" s="540"/>
    </row>
    <row r="664" spans="1:13" ht="14.25" customHeight="1" thickBot="1">
      <c r="A664" s="2047" t="s">
        <v>905</v>
      </c>
      <c r="B664" s="2049" t="s">
        <v>317</v>
      </c>
      <c r="C664" s="2051" t="s">
        <v>1625</v>
      </c>
      <c r="D664" s="549" t="s">
        <v>362</v>
      </c>
      <c r="E664" s="555" t="s">
        <v>363</v>
      </c>
      <c r="F664" s="2045" t="s">
        <v>906</v>
      </c>
      <c r="G664" s="2045" t="s">
        <v>907</v>
      </c>
      <c r="H664" s="2045" t="s">
        <v>359</v>
      </c>
      <c r="I664" s="2045" t="s">
        <v>360</v>
      </c>
      <c r="J664" s="2045" t="s">
        <v>775</v>
      </c>
      <c r="K664" s="951" t="s">
        <v>920</v>
      </c>
      <c r="L664" s="1105"/>
      <c r="M664" s="540"/>
    </row>
    <row r="665" spans="1:13" ht="22.5" customHeight="1" thickBot="1">
      <c r="A665" s="2048"/>
      <c r="B665" s="2050"/>
      <c r="C665" s="2052"/>
      <c r="D665" s="550" t="s">
        <v>361</v>
      </c>
      <c r="E665" s="556" t="s">
        <v>361</v>
      </c>
      <c r="F665" s="2046"/>
      <c r="G665" s="2046"/>
      <c r="H665" s="2046"/>
      <c r="I665" s="2046"/>
      <c r="J665" s="2046"/>
      <c r="K665" s="557" t="s">
        <v>364</v>
      </c>
      <c r="L665" s="951" t="s">
        <v>365</v>
      </c>
      <c r="M665" s="540"/>
    </row>
    <row r="666" spans="1:13" ht="18.75" customHeight="1">
      <c r="A666" s="522">
        <v>1</v>
      </c>
      <c r="B666" s="406" t="str">
        <f>'ПРИЛ №3'!C63</f>
        <v>Турнир по шашкам при ЖЭУ</v>
      </c>
      <c r="C666" s="560" t="s">
        <v>1189</v>
      </c>
      <c r="D666" s="406"/>
      <c r="E666" s="406" t="s">
        <v>1628</v>
      </c>
      <c r="F666" s="406"/>
      <c r="G666" s="406"/>
      <c r="H666" s="561"/>
      <c r="I666" s="543" t="s">
        <v>541</v>
      </c>
      <c r="J666" s="406"/>
      <c r="K666" s="580">
        <f>'ПРИЛ №3'!G63</f>
        <v>4015</v>
      </c>
      <c r="L666" s="436"/>
      <c r="M666" s="540">
        <f>K666-L666</f>
        <v>4015</v>
      </c>
    </row>
    <row r="667" spans="1:13" s="567" customFormat="1" ht="12">
      <c r="A667" s="592"/>
      <c r="B667" s="592" t="s">
        <v>555</v>
      </c>
      <c r="C667" s="564"/>
      <c r="D667" s="563"/>
      <c r="E667" s="563"/>
      <c r="F667" s="563"/>
      <c r="G667" s="563"/>
      <c r="H667" s="565" t="s">
        <v>318</v>
      </c>
      <c r="I667" s="563"/>
      <c r="J667" s="563"/>
      <c r="K667" s="566">
        <f>SUM(K666:K666)</f>
        <v>4015</v>
      </c>
      <c r="L667" s="566">
        <f>SUM(L666:L666)</f>
        <v>0</v>
      </c>
      <c r="M667" s="566">
        <f>SUM(M666:M666)</f>
        <v>4015</v>
      </c>
    </row>
    <row r="668" spans="1:13" ht="26.25" customHeight="1">
      <c r="A668" s="522">
        <v>1</v>
      </c>
      <c r="B668" s="406" t="s">
        <v>673</v>
      </c>
      <c r="C668" s="560" t="s">
        <v>1126</v>
      </c>
      <c r="D668" s="406" t="s">
        <v>944</v>
      </c>
      <c r="E668" s="406" t="s">
        <v>1628</v>
      </c>
      <c r="F668" s="406"/>
      <c r="G668" s="406"/>
      <c r="H668" s="561"/>
      <c r="I668" s="543" t="s">
        <v>541</v>
      </c>
      <c r="J668" s="406"/>
      <c r="K668" s="580">
        <f>'ПРИЛ №3'!G177</f>
        <v>12471</v>
      </c>
      <c r="L668" s="436"/>
      <c r="M668" s="540">
        <f aca="true" t="shared" si="16" ref="M668:M675">K668-L668</f>
        <v>12471</v>
      </c>
    </row>
    <row r="669" spans="1:13" ht="23.25" customHeight="1">
      <c r="A669" s="522">
        <v>1</v>
      </c>
      <c r="B669" s="543" t="s">
        <v>1900</v>
      </c>
      <c r="C669" s="560" t="s">
        <v>1126</v>
      </c>
      <c r="D669" s="406" t="s">
        <v>944</v>
      </c>
      <c r="E669" s="406" t="s">
        <v>1426</v>
      </c>
      <c r="F669" s="406"/>
      <c r="G669" s="406"/>
      <c r="H669" s="561"/>
      <c r="I669" s="406" t="s">
        <v>1052</v>
      </c>
      <c r="J669" s="406"/>
      <c r="K669" s="580">
        <f>'ПРИЛ №3'!$G$178</f>
        <v>1145</v>
      </c>
      <c r="L669" s="436"/>
      <c r="M669" s="540">
        <f t="shared" si="16"/>
        <v>1145</v>
      </c>
    </row>
    <row r="670" spans="1:13" ht="23.25" customHeight="1">
      <c r="A670" s="522">
        <v>1</v>
      </c>
      <c r="B670" s="543" t="s">
        <v>1548</v>
      </c>
      <c r="C670" s="560" t="s">
        <v>1126</v>
      </c>
      <c r="D670" s="406" t="s">
        <v>1424</v>
      </c>
      <c r="E670" s="406" t="s">
        <v>1658</v>
      </c>
      <c r="F670" s="406"/>
      <c r="G670" s="406"/>
      <c r="H670" s="561"/>
      <c r="I670" s="406" t="s">
        <v>740</v>
      </c>
      <c r="J670" s="406"/>
      <c r="K670" s="580">
        <f>'ПРИЛ №3'!$G$187</f>
        <v>1268</v>
      </c>
      <c r="L670" s="436"/>
      <c r="M670" s="540">
        <f t="shared" si="16"/>
        <v>1268</v>
      </c>
    </row>
    <row r="671" spans="1:13" ht="14.25" customHeight="1">
      <c r="A671" s="562">
        <v>3</v>
      </c>
      <c r="B671" s="406" t="s">
        <v>750</v>
      </c>
      <c r="C671" s="593" t="s">
        <v>1126</v>
      </c>
      <c r="D671" s="406" t="s">
        <v>923</v>
      </c>
      <c r="E671" s="406" t="s">
        <v>1628</v>
      </c>
      <c r="F671" s="406"/>
      <c r="G671" s="406"/>
      <c r="H671" s="561"/>
      <c r="I671" s="404" t="s">
        <v>541</v>
      </c>
      <c r="J671" s="404"/>
      <c r="K671" s="580">
        <f>'ПРИЛ №3'!$G$100</f>
        <v>3148</v>
      </c>
      <c r="L671" s="436"/>
      <c r="M671" s="540">
        <f t="shared" si="16"/>
        <v>3148</v>
      </c>
    </row>
    <row r="672" spans="1:13" ht="16.5" customHeight="1">
      <c r="A672" s="562">
        <v>4</v>
      </c>
      <c r="B672" s="543" t="s">
        <v>917</v>
      </c>
      <c r="C672" s="593" t="s">
        <v>1126</v>
      </c>
      <c r="D672" s="406" t="s">
        <v>925</v>
      </c>
      <c r="E672" s="406" t="s">
        <v>1628</v>
      </c>
      <c r="F672" s="406"/>
      <c r="G672" s="406"/>
      <c r="H672" s="561"/>
      <c r="I672" s="404" t="s">
        <v>541</v>
      </c>
      <c r="J672" s="404"/>
      <c r="K672" s="580">
        <f>'ПРИЛ №3'!$G$88</f>
        <v>203</v>
      </c>
      <c r="L672" s="436"/>
      <c r="M672" s="540">
        <f t="shared" si="16"/>
        <v>203</v>
      </c>
    </row>
    <row r="673" spans="1:13" ht="16.5" customHeight="1">
      <c r="A673" s="562">
        <v>5</v>
      </c>
      <c r="B673" s="543" t="s">
        <v>1326</v>
      </c>
      <c r="C673" s="593" t="s">
        <v>1126</v>
      </c>
      <c r="D673" s="406" t="s">
        <v>1425</v>
      </c>
      <c r="E673" s="406" t="s">
        <v>1628</v>
      </c>
      <c r="F673" s="406"/>
      <c r="G673" s="406"/>
      <c r="H673" s="561"/>
      <c r="I673" s="404" t="s">
        <v>541</v>
      </c>
      <c r="J673" s="404"/>
      <c r="K673" s="580">
        <f>'ПРИЛ №3'!$G$128</f>
        <v>3159</v>
      </c>
      <c r="L673" s="436"/>
      <c r="M673" s="540">
        <f t="shared" si="16"/>
        <v>3159</v>
      </c>
    </row>
    <row r="674" spans="1:13" ht="16.5" customHeight="1">
      <c r="A674" s="562">
        <v>6</v>
      </c>
      <c r="B674" s="544" t="s">
        <v>1886</v>
      </c>
      <c r="C674" s="593" t="s">
        <v>1126</v>
      </c>
      <c r="D674" s="406" t="s">
        <v>944</v>
      </c>
      <c r="E674" s="406" t="s">
        <v>1628</v>
      </c>
      <c r="F674" s="406"/>
      <c r="G674" s="406"/>
      <c r="H674" s="561"/>
      <c r="I674" s="404" t="s">
        <v>541</v>
      </c>
      <c r="J674" s="404"/>
      <c r="K674" s="580">
        <f>'ПРИЛ №3'!$G$176</f>
        <v>518</v>
      </c>
      <c r="L674" s="436"/>
      <c r="M674" s="540">
        <f t="shared" si="16"/>
        <v>518</v>
      </c>
    </row>
    <row r="675" spans="1:13" ht="15" customHeight="1" thickBot="1">
      <c r="A675" s="562">
        <v>8</v>
      </c>
      <c r="B675" s="1226" t="s">
        <v>714</v>
      </c>
      <c r="C675" s="586" t="s">
        <v>1126</v>
      </c>
      <c r="D675" s="438" t="s">
        <v>1424</v>
      </c>
      <c r="E675" s="438" t="s">
        <v>1628</v>
      </c>
      <c r="F675" s="438"/>
      <c r="G675" s="438"/>
      <c r="H675" s="599"/>
      <c r="I675" s="401" t="s">
        <v>541</v>
      </c>
      <c r="J675" s="401"/>
      <c r="K675" s="600">
        <f>'ПРИЛ №3'!G184</f>
        <v>2494</v>
      </c>
      <c r="L675" s="958"/>
      <c r="M675" s="540">
        <f t="shared" si="16"/>
        <v>2494</v>
      </c>
    </row>
    <row r="676" spans="1:13" s="567" customFormat="1" ht="12.75" customHeight="1" thickBot="1">
      <c r="A676" s="648"/>
      <c r="B676" s="658" t="s">
        <v>558</v>
      </c>
      <c r="C676" s="650"/>
      <c r="D676" s="649"/>
      <c r="E676" s="649"/>
      <c r="F676" s="649"/>
      <c r="G676" s="649"/>
      <c r="H676" s="651"/>
      <c r="I676" s="649"/>
      <c r="J676" s="649"/>
      <c r="K676" s="652">
        <f>SUM(K668:K675)</f>
        <v>24406</v>
      </c>
      <c r="L676" s="652">
        <f>SUM(L668:L675)</f>
        <v>0</v>
      </c>
      <c r="M676" s="652">
        <f>SUM(M668:M675)</f>
        <v>24406</v>
      </c>
    </row>
    <row r="677" spans="1:13" s="574" customFormat="1" ht="12.75" thickBot="1">
      <c r="A677" s="568"/>
      <c r="B677" s="569" t="s">
        <v>1395</v>
      </c>
      <c r="C677" s="570"/>
      <c r="D677" s="571"/>
      <c r="E677" s="571"/>
      <c r="F677" s="571"/>
      <c r="G677" s="571"/>
      <c r="H677" s="572"/>
      <c r="I677" s="571"/>
      <c r="J677" s="571"/>
      <c r="K677" s="573">
        <f>SUM(K676,K667,)</f>
        <v>28421</v>
      </c>
      <c r="L677" s="573">
        <f>SUM(L676,L667,)</f>
        <v>0</v>
      </c>
      <c r="M677" s="573">
        <f>SUM(M676,M667,)</f>
        <v>28421</v>
      </c>
    </row>
    <row r="678" spans="1:13" ht="36" customHeight="1" thickBot="1">
      <c r="A678" s="551" t="s">
        <v>318</v>
      </c>
      <c r="C678" s="552">
        <v>0</v>
      </c>
      <c r="K678" s="1540">
        <f>K8+K31+K40+K56+K80+K97+K110+K116+K142+K160+K172+K192+K206+K214+K221+K235+K308+K329+K369+K403+K419+K444+K454+K466+K486+K495+K514+K526+K540+K556+K563+K570+K584+K599+K611+K623+K638+K661+K677</f>
        <v>5276874</v>
      </c>
      <c r="L678" s="1540">
        <f>L8+L31+L40+L56+L80+L97+L110+L116+L142+L160+L172+L192+L206+L214+L221+L235+L308+L329+L369+L403+L419+L444+L454+L466+L486+L495+L514+L526+L540+L556+L563+L570+L584+L599+L611+L623+L638+L661+L677</f>
        <v>0</v>
      </c>
      <c r="M678" s="1540">
        <f>M8+M31+M40+M56+M80+M97+M110+M116+M142+M160+M172+M192+M206+M214+M221+M235+M308+M329+M369+M403+M419+M444+M454+M466+M486+M495+M514+M526+M540+M556+M563+M570+M584+M599+M611+M623+M638+M661+M677</f>
        <v>5276874</v>
      </c>
    </row>
    <row r="679" spans="1:13" ht="15.75">
      <c r="A679" s="551" t="s">
        <v>318</v>
      </c>
      <c r="J679" s="889"/>
      <c r="K679" s="1541"/>
      <c r="L679" s="1542"/>
      <c r="M679" s="1543">
        <f>M310+M311</f>
        <v>5276874</v>
      </c>
    </row>
    <row r="680" ht="12">
      <c r="M680" s="540">
        <f aca="true" t="shared" si="17" ref="M680:M693">K680-L680</f>
        <v>0</v>
      </c>
    </row>
    <row r="681" spans="11:13" ht="12">
      <c r="K681" s="554">
        <f>K7+K24+K141+K150+K198+K298+K345+K385+K416+K434+K451+K476+K533+K581+K610+K622+K655+K676</f>
        <v>1287765</v>
      </c>
      <c r="M681" s="540">
        <f t="shared" si="17"/>
        <v>1287765</v>
      </c>
    </row>
    <row r="682" spans="1:13" s="659" customFormat="1" ht="12">
      <c r="A682" s="551"/>
      <c r="B682" s="440"/>
      <c r="C682" s="552"/>
      <c r="D682" s="405"/>
      <c r="E682" s="405" t="s">
        <v>1368</v>
      </c>
      <c r="F682" s="405"/>
      <c r="G682" s="405"/>
      <c r="H682" s="553"/>
      <c r="I682" s="405"/>
      <c r="J682" s="405"/>
      <c r="K682" s="554">
        <v>1287765</v>
      </c>
      <c r="L682" s="405"/>
      <c r="M682" s="540">
        <f t="shared" si="17"/>
        <v>1287765</v>
      </c>
    </row>
    <row r="683" spans="1:13" s="659" customFormat="1" ht="12">
      <c r="A683" s="551"/>
      <c r="B683" s="440"/>
      <c r="C683" s="552"/>
      <c r="D683" s="405"/>
      <c r="E683" s="405"/>
      <c r="F683" s="405"/>
      <c r="G683" s="405"/>
      <c r="H683" s="553"/>
      <c r="I683" s="405"/>
      <c r="J683" s="405"/>
      <c r="K683" s="554"/>
      <c r="L683" s="405"/>
      <c r="M683" s="540">
        <f t="shared" si="17"/>
        <v>0</v>
      </c>
    </row>
    <row r="684" spans="11:13" ht="12">
      <c r="K684" s="554">
        <f>K682-K681</f>
        <v>0</v>
      </c>
      <c r="M684" s="540">
        <f t="shared" si="17"/>
        <v>0</v>
      </c>
    </row>
    <row r="685" spans="1:13" s="659" customFormat="1" ht="12.75" customHeight="1">
      <c r="A685" s="551"/>
      <c r="B685" s="440"/>
      <c r="C685" s="552"/>
      <c r="D685" s="405"/>
      <c r="E685" s="1544">
        <v>5269177</v>
      </c>
      <c r="F685" s="405"/>
      <c r="G685" s="405"/>
      <c r="H685" s="553"/>
      <c r="I685" s="405"/>
      <c r="J685" s="405"/>
      <c r="K685" s="554"/>
      <c r="L685" s="405"/>
      <c r="M685" s="540">
        <f t="shared" si="17"/>
        <v>0</v>
      </c>
    </row>
    <row r="686" spans="1:13" s="659" customFormat="1" ht="12.75" customHeight="1">
      <c r="A686" s="551"/>
      <c r="B686" s="440"/>
      <c r="C686" s="552"/>
      <c r="D686" s="405" t="s">
        <v>888</v>
      </c>
      <c r="E686" s="1544">
        <v>5264621</v>
      </c>
      <c r="F686" s="405"/>
      <c r="G686" s="405"/>
      <c r="H686" s="553"/>
      <c r="I686" s="405"/>
      <c r="J686" s="405"/>
      <c r="K686" s="554"/>
      <c r="L686" s="405"/>
      <c r="M686" s="540">
        <f t="shared" si="17"/>
        <v>0</v>
      </c>
    </row>
    <row r="687" spans="1:13" s="659" customFormat="1" ht="15">
      <c r="A687" s="551"/>
      <c r="B687" s="440"/>
      <c r="C687" s="552"/>
      <c r="D687" s="405"/>
      <c r="E687" s="1544">
        <f>E686-E685</f>
        <v>-4556</v>
      </c>
      <c r="F687" s="405"/>
      <c r="G687" s="405"/>
      <c r="H687" s="553"/>
      <c r="I687" s="405"/>
      <c r="J687" s="405"/>
      <c r="K687" s="554"/>
      <c r="L687" s="405"/>
      <c r="M687" s="540">
        <f t="shared" si="17"/>
        <v>0</v>
      </c>
    </row>
    <row r="688" spans="1:13" s="659" customFormat="1" ht="12">
      <c r="A688" s="551"/>
      <c r="B688" s="440"/>
      <c r="C688" s="552"/>
      <c r="D688" s="405"/>
      <c r="E688" s="405"/>
      <c r="F688" s="405"/>
      <c r="G688" s="405"/>
      <c r="H688" s="553"/>
      <c r="I688" s="405"/>
      <c r="J688" s="405"/>
      <c r="K688" s="554"/>
      <c r="L688" s="405"/>
      <c r="M688" s="540">
        <f t="shared" si="17"/>
        <v>0</v>
      </c>
    </row>
    <row r="689" spans="1:13" s="659" customFormat="1" ht="12">
      <c r="A689" s="551"/>
      <c r="B689" s="440"/>
      <c r="C689" s="552"/>
      <c r="D689" s="405"/>
      <c r="E689" s="405"/>
      <c r="F689" s="405"/>
      <c r="G689" s="405"/>
      <c r="H689" s="553"/>
      <c r="I689" s="405"/>
      <c r="J689" s="405"/>
      <c r="K689" s="554"/>
      <c r="L689" s="405"/>
      <c r="M689" s="540">
        <f t="shared" si="17"/>
        <v>0</v>
      </c>
    </row>
    <row r="690" spans="1:13" s="659" customFormat="1" ht="12">
      <c r="A690" s="551"/>
      <c r="B690" s="440"/>
      <c r="C690" s="552"/>
      <c r="D690" s="405"/>
      <c r="E690" s="405"/>
      <c r="F690" s="405"/>
      <c r="G690" s="405"/>
      <c r="H690" s="553"/>
      <c r="I690" s="405"/>
      <c r="J690" s="405"/>
      <c r="K690" s="554"/>
      <c r="L690" s="405"/>
      <c r="M690" s="540">
        <f t="shared" si="17"/>
        <v>0</v>
      </c>
    </row>
    <row r="691" ht="12">
      <c r="M691" s="540">
        <f t="shared" si="17"/>
        <v>0</v>
      </c>
    </row>
    <row r="692" ht="12">
      <c r="M692" s="540">
        <f t="shared" si="17"/>
        <v>0</v>
      </c>
    </row>
    <row r="693" ht="12">
      <c r="M693" s="540">
        <f t="shared" si="17"/>
        <v>0</v>
      </c>
    </row>
    <row r="694" ht="12">
      <c r="M694" s="540">
        <f aca="true" t="shared" si="18" ref="M694:M725">K694-L694</f>
        <v>0</v>
      </c>
    </row>
    <row r="695" ht="12">
      <c r="M695" s="540">
        <f t="shared" si="18"/>
        <v>0</v>
      </c>
    </row>
    <row r="696" ht="12" customHeight="1">
      <c r="M696" s="540">
        <f t="shared" si="18"/>
        <v>0</v>
      </c>
    </row>
    <row r="697" ht="12">
      <c r="M697" s="540">
        <f t="shared" si="18"/>
        <v>0</v>
      </c>
    </row>
    <row r="698" ht="12">
      <c r="M698" s="540">
        <f t="shared" si="18"/>
        <v>0</v>
      </c>
    </row>
    <row r="699" ht="12">
      <c r="M699" s="540">
        <f t="shared" si="18"/>
        <v>0</v>
      </c>
    </row>
    <row r="700" ht="12">
      <c r="M700" s="540">
        <f t="shared" si="18"/>
        <v>0</v>
      </c>
    </row>
    <row r="701" ht="12">
      <c r="M701" s="540">
        <f t="shared" si="18"/>
        <v>0</v>
      </c>
    </row>
    <row r="702" ht="12">
      <c r="M702" s="540">
        <f t="shared" si="18"/>
        <v>0</v>
      </c>
    </row>
    <row r="703" ht="12">
      <c r="M703" s="540">
        <f t="shared" si="18"/>
        <v>0</v>
      </c>
    </row>
    <row r="704" ht="12">
      <c r="M704" s="540">
        <f t="shared" si="18"/>
        <v>0</v>
      </c>
    </row>
    <row r="705" ht="12">
      <c r="M705" s="540">
        <f t="shared" si="18"/>
        <v>0</v>
      </c>
    </row>
    <row r="706" ht="12">
      <c r="M706" s="540">
        <f t="shared" si="18"/>
        <v>0</v>
      </c>
    </row>
    <row r="707" ht="12">
      <c r="M707" s="540">
        <f t="shared" si="18"/>
        <v>0</v>
      </c>
    </row>
    <row r="708" ht="12">
      <c r="M708" s="540">
        <f t="shared" si="18"/>
        <v>0</v>
      </c>
    </row>
    <row r="709" ht="12">
      <c r="M709" s="540">
        <f t="shared" si="18"/>
        <v>0</v>
      </c>
    </row>
    <row r="710" ht="12">
      <c r="M710" s="540">
        <f t="shared" si="18"/>
        <v>0</v>
      </c>
    </row>
    <row r="711" ht="12">
      <c r="M711" s="540">
        <f t="shared" si="18"/>
        <v>0</v>
      </c>
    </row>
    <row r="712" ht="12">
      <c r="M712" s="540">
        <f t="shared" si="18"/>
        <v>0</v>
      </c>
    </row>
    <row r="713" ht="12">
      <c r="M713" s="540">
        <f t="shared" si="18"/>
        <v>0</v>
      </c>
    </row>
    <row r="714" ht="12">
      <c r="M714" s="540">
        <f t="shared" si="18"/>
        <v>0</v>
      </c>
    </row>
    <row r="715" ht="12">
      <c r="M715" s="540">
        <f t="shared" si="18"/>
        <v>0</v>
      </c>
    </row>
    <row r="716" ht="12">
      <c r="M716" s="540">
        <f t="shared" si="18"/>
        <v>0</v>
      </c>
    </row>
    <row r="717" ht="12">
      <c r="M717" s="540">
        <f t="shared" si="18"/>
        <v>0</v>
      </c>
    </row>
    <row r="718" ht="12">
      <c r="M718" s="540">
        <f t="shared" si="18"/>
        <v>0</v>
      </c>
    </row>
    <row r="719" ht="12">
      <c r="M719" s="540">
        <f t="shared" si="18"/>
        <v>0</v>
      </c>
    </row>
    <row r="720" ht="12">
      <c r="M720" s="540">
        <f t="shared" si="18"/>
        <v>0</v>
      </c>
    </row>
    <row r="721" ht="12">
      <c r="M721" s="540">
        <f t="shared" si="18"/>
        <v>0</v>
      </c>
    </row>
    <row r="722" ht="12">
      <c r="M722" s="540">
        <f t="shared" si="18"/>
        <v>0</v>
      </c>
    </row>
    <row r="723" ht="12">
      <c r="M723" s="540">
        <f t="shared" si="18"/>
        <v>0</v>
      </c>
    </row>
    <row r="724" ht="12">
      <c r="M724" s="540">
        <f t="shared" si="18"/>
        <v>0</v>
      </c>
    </row>
    <row r="725" ht="12">
      <c r="M725" s="540">
        <f t="shared" si="18"/>
        <v>0</v>
      </c>
    </row>
    <row r="726" ht="12">
      <c r="M726" s="540">
        <f aca="true" t="shared" si="19" ref="M726:M755">K726-L726</f>
        <v>0</v>
      </c>
    </row>
    <row r="727" ht="12">
      <c r="M727" s="540">
        <f t="shared" si="19"/>
        <v>0</v>
      </c>
    </row>
    <row r="728" ht="12">
      <c r="M728" s="540">
        <f t="shared" si="19"/>
        <v>0</v>
      </c>
    </row>
    <row r="729" ht="12">
      <c r="M729" s="540">
        <f t="shared" si="19"/>
        <v>0</v>
      </c>
    </row>
    <row r="730" ht="12">
      <c r="M730" s="540">
        <f t="shared" si="19"/>
        <v>0</v>
      </c>
    </row>
    <row r="731" ht="12">
      <c r="M731" s="540">
        <f t="shared" si="19"/>
        <v>0</v>
      </c>
    </row>
    <row r="732" ht="12">
      <c r="M732" s="540">
        <f t="shared" si="19"/>
        <v>0</v>
      </c>
    </row>
    <row r="733" ht="12">
      <c r="M733" s="540">
        <f t="shared" si="19"/>
        <v>0</v>
      </c>
    </row>
    <row r="734" ht="12">
      <c r="M734" s="540">
        <f t="shared" si="19"/>
        <v>0</v>
      </c>
    </row>
    <row r="735" ht="12">
      <c r="M735" s="540">
        <f t="shared" si="19"/>
        <v>0</v>
      </c>
    </row>
    <row r="736" ht="12">
      <c r="M736" s="540">
        <f t="shared" si="19"/>
        <v>0</v>
      </c>
    </row>
    <row r="737" ht="12">
      <c r="M737" s="540">
        <f t="shared" si="19"/>
        <v>0</v>
      </c>
    </row>
    <row r="738" ht="12">
      <c r="M738" s="540">
        <f t="shared" si="19"/>
        <v>0</v>
      </c>
    </row>
    <row r="739" ht="12">
      <c r="M739" s="540">
        <f t="shared" si="19"/>
        <v>0</v>
      </c>
    </row>
    <row r="740" ht="12">
      <c r="M740" s="540">
        <f t="shared" si="19"/>
        <v>0</v>
      </c>
    </row>
    <row r="741" ht="12">
      <c r="M741" s="540">
        <f t="shared" si="19"/>
        <v>0</v>
      </c>
    </row>
    <row r="742" ht="12">
      <c r="M742" s="540">
        <f t="shared" si="19"/>
        <v>0</v>
      </c>
    </row>
    <row r="743" ht="12">
      <c r="M743" s="540">
        <f t="shared" si="19"/>
        <v>0</v>
      </c>
    </row>
    <row r="744" ht="12">
      <c r="M744" s="540">
        <f t="shared" si="19"/>
        <v>0</v>
      </c>
    </row>
    <row r="745" ht="12">
      <c r="M745" s="540">
        <f t="shared" si="19"/>
        <v>0</v>
      </c>
    </row>
    <row r="746" ht="12">
      <c r="M746" s="540">
        <f t="shared" si="19"/>
        <v>0</v>
      </c>
    </row>
    <row r="747" ht="12">
      <c r="M747" s="540">
        <f t="shared" si="19"/>
        <v>0</v>
      </c>
    </row>
    <row r="748" ht="12">
      <c r="M748" s="540">
        <f t="shared" si="19"/>
        <v>0</v>
      </c>
    </row>
    <row r="749" ht="12">
      <c r="M749" s="540">
        <f t="shared" si="19"/>
        <v>0</v>
      </c>
    </row>
    <row r="750" ht="12">
      <c r="M750" s="540">
        <f t="shared" si="19"/>
        <v>0</v>
      </c>
    </row>
    <row r="751" ht="12">
      <c r="M751" s="540">
        <f t="shared" si="19"/>
        <v>0</v>
      </c>
    </row>
    <row r="752" ht="12">
      <c r="M752" s="540">
        <f t="shared" si="19"/>
        <v>0</v>
      </c>
    </row>
    <row r="753" ht="12">
      <c r="M753" s="540">
        <f t="shared" si="19"/>
        <v>0</v>
      </c>
    </row>
    <row r="754" ht="12">
      <c r="M754" s="540">
        <f t="shared" si="19"/>
        <v>0</v>
      </c>
    </row>
    <row r="755" ht="12">
      <c r="M755" s="540">
        <f t="shared" si="19"/>
        <v>0</v>
      </c>
    </row>
  </sheetData>
  <mergeCells count="341">
    <mergeCell ref="A174:B174"/>
    <mergeCell ref="H4:H5"/>
    <mergeCell ref="I4:I5"/>
    <mergeCell ref="J4:J5"/>
    <mergeCell ref="G4:G5"/>
    <mergeCell ref="A4:A5"/>
    <mergeCell ref="B4:B5"/>
    <mergeCell ref="C4:C5"/>
    <mergeCell ref="F4:F5"/>
    <mergeCell ref="A33:A34"/>
    <mergeCell ref="K4:L4"/>
    <mergeCell ref="A10:A11"/>
    <mergeCell ref="B10:B11"/>
    <mergeCell ref="C10:C11"/>
    <mergeCell ref="F10:F11"/>
    <mergeCell ref="G10:G11"/>
    <mergeCell ref="H10:H11"/>
    <mergeCell ref="I10:I11"/>
    <mergeCell ref="J10:J11"/>
    <mergeCell ref="K10:L10"/>
    <mergeCell ref="B33:B34"/>
    <mergeCell ref="C33:C34"/>
    <mergeCell ref="F33:F34"/>
    <mergeCell ref="G33:G34"/>
    <mergeCell ref="H33:H34"/>
    <mergeCell ref="I33:I34"/>
    <mergeCell ref="J33:J34"/>
    <mergeCell ref="K33:L33"/>
    <mergeCell ref="A42:A43"/>
    <mergeCell ref="B42:B43"/>
    <mergeCell ref="C42:C43"/>
    <mergeCell ref="F42:F43"/>
    <mergeCell ref="G42:G43"/>
    <mergeCell ref="H42:H43"/>
    <mergeCell ref="I42:I43"/>
    <mergeCell ref="J42:J43"/>
    <mergeCell ref="K42:L42"/>
    <mergeCell ref="A58:A59"/>
    <mergeCell ref="B58:B59"/>
    <mergeCell ref="C58:C59"/>
    <mergeCell ref="F58:F59"/>
    <mergeCell ref="G58:G59"/>
    <mergeCell ref="H58:H59"/>
    <mergeCell ref="I58:I59"/>
    <mergeCell ref="J58:J59"/>
    <mergeCell ref="K58:L58"/>
    <mergeCell ref="A82:A83"/>
    <mergeCell ref="B82:B83"/>
    <mergeCell ref="C82:C83"/>
    <mergeCell ref="F82:F83"/>
    <mergeCell ref="G82:G83"/>
    <mergeCell ref="H82:H83"/>
    <mergeCell ref="I82:I83"/>
    <mergeCell ref="J82:J83"/>
    <mergeCell ref="K82:L82"/>
    <mergeCell ref="A99:A100"/>
    <mergeCell ref="B99:B100"/>
    <mergeCell ref="C99:C100"/>
    <mergeCell ref="F99:F100"/>
    <mergeCell ref="G99:G100"/>
    <mergeCell ref="H99:H100"/>
    <mergeCell ref="I99:I100"/>
    <mergeCell ref="J99:J100"/>
    <mergeCell ref="K99:L99"/>
    <mergeCell ref="A112:A113"/>
    <mergeCell ref="B112:B113"/>
    <mergeCell ref="C112:C113"/>
    <mergeCell ref="F112:F113"/>
    <mergeCell ref="G112:G113"/>
    <mergeCell ref="H112:H113"/>
    <mergeCell ref="I112:I113"/>
    <mergeCell ref="J112:J113"/>
    <mergeCell ref="K112:L11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L119"/>
    <mergeCell ref="A175:A176"/>
    <mergeCell ref="B175:B176"/>
    <mergeCell ref="C175:C176"/>
    <mergeCell ref="F175:F176"/>
    <mergeCell ref="G175:G176"/>
    <mergeCell ref="H175:H176"/>
    <mergeCell ref="I175:I176"/>
    <mergeCell ref="J175:J176"/>
    <mergeCell ref="K175:L175"/>
    <mergeCell ref="A145:A146"/>
    <mergeCell ref="B145:B146"/>
    <mergeCell ref="C145:C146"/>
    <mergeCell ref="F145:F146"/>
    <mergeCell ref="G145:G146"/>
    <mergeCell ref="H145:H146"/>
    <mergeCell ref="I145:I146"/>
    <mergeCell ref="J145:J146"/>
    <mergeCell ref="K145:L145"/>
    <mergeCell ref="A163:A164"/>
    <mergeCell ref="B163:B164"/>
    <mergeCell ref="C163:C164"/>
    <mergeCell ref="F163:F164"/>
    <mergeCell ref="G163:G164"/>
    <mergeCell ref="H163:H164"/>
    <mergeCell ref="I163:I164"/>
    <mergeCell ref="J163:J164"/>
    <mergeCell ref="K163:L163"/>
    <mergeCell ref="A195:A196"/>
    <mergeCell ref="B195:B196"/>
    <mergeCell ref="C195:C196"/>
    <mergeCell ref="F195:F196"/>
    <mergeCell ref="G195:G196"/>
    <mergeCell ref="H195:H196"/>
    <mergeCell ref="I195:I196"/>
    <mergeCell ref="J195:J196"/>
    <mergeCell ref="K195:L195"/>
    <mergeCell ref="A209:A210"/>
    <mergeCell ref="B209:B210"/>
    <mergeCell ref="C209:C210"/>
    <mergeCell ref="F209:F210"/>
    <mergeCell ref="G209:G210"/>
    <mergeCell ref="H209:H210"/>
    <mergeCell ref="I209:I210"/>
    <mergeCell ref="J209:J210"/>
    <mergeCell ref="K209:L209"/>
    <mergeCell ref="A217:A218"/>
    <mergeCell ref="B217:B218"/>
    <mergeCell ref="C217:C218"/>
    <mergeCell ref="F217:F218"/>
    <mergeCell ref="G217:G218"/>
    <mergeCell ref="H217:H218"/>
    <mergeCell ref="I217:I218"/>
    <mergeCell ref="J217:J218"/>
    <mergeCell ref="K217:L217"/>
    <mergeCell ref="A224:A225"/>
    <mergeCell ref="B224:B225"/>
    <mergeCell ref="C224:C225"/>
    <mergeCell ref="F224:F225"/>
    <mergeCell ref="G224:G225"/>
    <mergeCell ref="H224:H225"/>
    <mergeCell ref="I224:I225"/>
    <mergeCell ref="J224:J225"/>
    <mergeCell ref="K224:L224"/>
    <mergeCell ref="A238:A239"/>
    <mergeCell ref="B238:B239"/>
    <mergeCell ref="C238:C239"/>
    <mergeCell ref="F238:F239"/>
    <mergeCell ref="G238:G239"/>
    <mergeCell ref="H238:H239"/>
    <mergeCell ref="I238:I239"/>
    <mergeCell ref="J238:J239"/>
    <mergeCell ref="K238:L238"/>
    <mergeCell ref="A311:A312"/>
    <mergeCell ref="B311:B312"/>
    <mergeCell ref="C311:C312"/>
    <mergeCell ref="F311:F312"/>
    <mergeCell ref="G311:G312"/>
    <mergeCell ref="H311:H312"/>
    <mergeCell ref="I311:I312"/>
    <mergeCell ref="J311:J312"/>
    <mergeCell ref="K311:L311"/>
    <mergeCell ref="A332:A333"/>
    <mergeCell ref="B332:B333"/>
    <mergeCell ref="C332:C333"/>
    <mergeCell ref="F332:F333"/>
    <mergeCell ref="G332:G333"/>
    <mergeCell ref="H332:H333"/>
    <mergeCell ref="I332:I333"/>
    <mergeCell ref="J332:J333"/>
    <mergeCell ref="K332:L332"/>
    <mergeCell ref="A372:A373"/>
    <mergeCell ref="B372:B373"/>
    <mergeCell ref="C372:C373"/>
    <mergeCell ref="F372:F373"/>
    <mergeCell ref="G372:G373"/>
    <mergeCell ref="H372:H373"/>
    <mergeCell ref="I372:I373"/>
    <mergeCell ref="J372:J373"/>
    <mergeCell ref="K372:L372"/>
    <mergeCell ref="A405:A406"/>
    <mergeCell ref="B405:B406"/>
    <mergeCell ref="C405:C406"/>
    <mergeCell ref="F405:F406"/>
    <mergeCell ref="G405:G406"/>
    <mergeCell ref="H405:H406"/>
    <mergeCell ref="I405:I406"/>
    <mergeCell ref="J405:J406"/>
    <mergeCell ref="K405:L405"/>
    <mergeCell ref="A422:A423"/>
    <mergeCell ref="B422:B423"/>
    <mergeCell ref="C422:C423"/>
    <mergeCell ref="F422:F423"/>
    <mergeCell ref="G422:G423"/>
    <mergeCell ref="H422:H423"/>
    <mergeCell ref="I422:I423"/>
    <mergeCell ref="J422:J423"/>
    <mergeCell ref="K422:L422"/>
    <mergeCell ref="A447:A448"/>
    <mergeCell ref="B447:B448"/>
    <mergeCell ref="C447:C448"/>
    <mergeCell ref="F447:F448"/>
    <mergeCell ref="G447:G448"/>
    <mergeCell ref="H447:H448"/>
    <mergeCell ref="I447:I448"/>
    <mergeCell ref="J447:J448"/>
    <mergeCell ref="K447:L447"/>
    <mergeCell ref="A457:A458"/>
    <mergeCell ref="B457:B458"/>
    <mergeCell ref="C457:C458"/>
    <mergeCell ref="F457:F458"/>
    <mergeCell ref="G457:G458"/>
    <mergeCell ref="H457:H458"/>
    <mergeCell ref="I457:I458"/>
    <mergeCell ref="J457:J458"/>
    <mergeCell ref="K457:L457"/>
    <mergeCell ref="A469:A470"/>
    <mergeCell ref="B469:B470"/>
    <mergeCell ref="C469:C470"/>
    <mergeCell ref="F469:F470"/>
    <mergeCell ref="K469:L469"/>
    <mergeCell ref="G469:G470"/>
    <mergeCell ref="H469:H470"/>
    <mergeCell ref="I469:I470"/>
    <mergeCell ref="J469:J470"/>
    <mergeCell ref="A488:A489"/>
    <mergeCell ref="B488:B489"/>
    <mergeCell ref="C488:C489"/>
    <mergeCell ref="F488:F489"/>
    <mergeCell ref="G488:G489"/>
    <mergeCell ref="H488:H489"/>
    <mergeCell ref="I488:I489"/>
    <mergeCell ref="J488:J489"/>
    <mergeCell ref="K488:L488"/>
    <mergeCell ref="A498:A499"/>
    <mergeCell ref="B498:B499"/>
    <mergeCell ref="C498:C499"/>
    <mergeCell ref="F498:F499"/>
    <mergeCell ref="K498:L498"/>
    <mergeCell ref="G498:G499"/>
    <mergeCell ref="H498:H499"/>
    <mergeCell ref="I498:I499"/>
    <mergeCell ref="J498:J499"/>
    <mergeCell ref="H518:H519"/>
    <mergeCell ref="I518:I519"/>
    <mergeCell ref="J518:J519"/>
    <mergeCell ref="A518:A519"/>
    <mergeCell ref="B518:B519"/>
    <mergeCell ref="C518:C519"/>
    <mergeCell ref="F518:F519"/>
    <mergeCell ref="K518:L518"/>
    <mergeCell ref="A529:A530"/>
    <mergeCell ref="B529:B530"/>
    <mergeCell ref="C529:C530"/>
    <mergeCell ref="F529:F530"/>
    <mergeCell ref="G529:G530"/>
    <mergeCell ref="H529:H530"/>
    <mergeCell ref="I529:I530"/>
    <mergeCell ref="J529:J530"/>
    <mergeCell ref="G518:G519"/>
    <mergeCell ref="A543:A544"/>
    <mergeCell ref="B543:B544"/>
    <mergeCell ref="C543:C544"/>
    <mergeCell ref="F543:F544"/>
    <mergeCell ref="G543:G544"/>
    <mergeCell ref="H543:H544"/>
    <mergeCell ref="I543:I544"/>
    <mergeCell ref="J543:J544"/>
    <mergeCell ref="G559:G560"/>
    <mergeCell ref="H559:H560"/>
    <mergeCell ref="I559:I560"/>
    <mergeCell ref="J559:J560"/>
    <mergeCell ref="A559:A560"/>
    <mergeCell ref="B559:B560"/>
    <mergeCell ref="C559:C560"/>
    <mergeCell ref="F559:F560"/>
    <mergeCell ref="A566:A567"/>
    <mergeCell ref="B566:B567"/>
    <mergeCell ref="C566:C567"/>
    <mergeCell ref="F566:F567"/>
    <mergeCell ref="G566:G567"/>
    <mergeCell ref="H566:H567"/>
    <mergeCell ref="I566:I567"/>
    <mergeCell ref="J566:J567"/>
    <mergeCell ref="G573:G574"/>
    <mergeCell ref="H573:H574"/>
    <mergeCell ref="I573:I574"/>
    <mergeCell ref="J573:J574"/>
    <mergeCell ref="A573:A574"/>
    <mergeCell ref="B573:B574"/>
    <mergeCell ref="C573:C574"/>
    <mergeCell ref="F573:F574"/>
    <mergeCell ref="A587:A588"/>
    <mergeCell ref="B587:B588"/>
    <mergeCell ref="C587:C588"/>
    <mergeCell ref="F587:F588"/>
    <mergeCell ref="G587:G588"/>
    <mergeCell ref="H587:H588"/>
    <mergeCell ref="I587:I588"/>
    <mergeCell ref="J587:J588"/>
    <mergeCell ref="G602:G603"/>
    <mergeCell ref="H602:H603"/>
    <mergeCell ref="I602:I603"/>
    <mergeCell ref="J602:J603"/>
    <mergeCell ref="A602:A603"/>
    <mergeCell ref="B602:B603"/>
    <mergeCell ref="C602:C603"/>
    <mergeCell ref="F602:F603"/>
    <mergeCell ref="A614:A615"/>
    <mergeCell ref="B614:B615"/>
    <mergeCell ref="C614:C615"/>
    <mergeCell ref="F614:F615"/>
    <mergeCell ref="G614:G615"/>
    <mergeCell ref="H614:H615"/>
    <mergeCell ref="I614:I615"/>
    <mergeCell ref="J614:J615"/>
    <mergeCell ref="G626:G627"/>
    <mergeCell ref="H626:H627"/>
    <mergeCell ref="I626:I627"/>
    <mergeCell ref="J626:J627"/>
    <mergeCell ref="A626:A627"/>
    <mergeCell ref="B626:B627"/>
    <mergeCell ref="C626:C627"/>
    <mergeCell ref="F626:F627"/>
    <mergeCell ref="A641:A642"/>
    <mergeCell ref="B641:B642"/>
    <mergeCell ref="C641:C642"/>
    <mergeCell ref="F641:F642"/>
    <mergeCell ref="G641:G642"/>
    <mergeCell ref="H641:H642"/>
    <mergeCell ref="I641:I642"/>
    <mergeCell ref="J641:J642"/>
    <mergeCell ref="A664:A665"/>
    <mergeCell ref="B664:B665"/>
    <mergeCell ref="C664:C665"/>
    <mergeCell ref="F664:F665"/>
    <mergeCell ref="G664:G665"/>
    <mergeCell ref="H664:H665"/>
    <mergeCell ref="I664:I665"/>
    <mergeCell ref="J664:J665"/>
  </mergeCells>
  <printOptions/>
  <pageMargins left="1.1811023622047245" right="0.1968503937007874" top="0" bottom="0" header="0" footer="0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63"/>
  <sheetViews>
    <sheetView zoomScale="75" zoomScaleNormal="75" workbookViewId="0" topLeftCell="A31">
      <selection activeCell="G65" sqref="G65"/>
    </sheetView>
  </sheetViews>
  <sheetFormatPr defaultColWidth="9.00390625" defaultRowHeight="12.75"/>
  <cols>
    <col min="1" max="1" width="11.00390625" style="398" bestFit="1" customWidth="1"/>
    <col min="2" max="2" width="8.125" style="0" bestFit="1" customWidth="1"/>
    <col min="3" max="3" width="14.00390625" style="1255" customWidth="1"/>
    <col min="4" max="5" width="12.125" style="0" bestFit="1" customWidth="1"/>
    <col min="6" max="6" width="12.25390625" style="0" bestFit="1" customWidth="1"/>
    <col min="7" max="7" width="12.125" style="0" bestFit="1" customWidth="1"/>
    <col min="8" max="8" width="10.625" style="0" bestFit="1" customWidth="1"/>
  </cols>
  <sheetData>
    <row r="2" spans="3:7" ht="12.75">
      <c r="C2" s="1255" t="s">
        <v>1793</v>
      </c>
      <c r="D2" t="s">
        <v>1794</v>
      </c>
      <c r="E2" t="s">
        <v>1795</v>
      </c>
      <c r="F2" t="s">
        <v>1796</v>
      </c>
      <c r="G2" t="s">
        <v>1797</v>
      </c>
    </row>
    <row r="3" spans="1:7" s="398" customFormat="1" ht="12.75">
      <c r="A3" s="398">
        <v>1</v>
      </c>
      <c r="C3" s="1256" t="e">
        <f>SUM(D3:G3)</f>
        <v>#REF!</v>
      </c>
      <c r="D3" s="1239" t="e">
        <f>SUM(D4:D7)</f>
        <v>#REF!</v>
      </c>
      <c r="E3" s="1239" t="e">
        <f>SUM(E4:E7)</f>
        <v>#REF!</v>
      </c>
      <c r="F3" s="1239">
        <f>SUM(F4:F7)</f>
        <v>50992</v>
      </c>
      <c r="G3" s="1239">
        <f>SUM(G4:G7)</f>
        <v>64448</v>
      </c>
    </row>
    <row r="4" spans="2:7" ht="12.75">
      <c r="B4">
        <v>222</v>
      </c>
      <c r="C4" s="1256">
        <f>SUM(D4:G4)</f>
        <v>106180</v>
      </c>
      <c r="D4" s="1238">
        <f>'1.4 спарт.шк'!F11+'1.4 спарт.шк'!F14</f>
        <v>46200</v>
      </c>
      <c r="E4" s="1238">
        <f>'1.4 спарт.шк'!F22+'1.4 спарт.шк'!F25+'1.5 гор.спар.допр'!K20</f>
        <v>59980</v>
      </c>
      <c r="F4" s="1238">
        <v>0</v>
      </c>
      <c r="G4" s="1238">
        <v>0</v>
      </c>
    </row>
    <row r="5" spans="2:7" ht="12.75">
      <c r="B5">
        <v>224</v>
      </c>
      <c r="C5" s="1256" t="e">
        <f>SUM(D5:G5)</f>
        <v>#REF!</v>
      </c>
      <c r="D5" s="1238" t="e">
        <f>'1.5 гор.спар.допр'!L8+'1.5 гор.спар.допр'!L14+'1.7 ЖЭУ'!#REF!</f>
        <v>#REF!</v>
      </c>
      <c r="E5" s="1238">
        <v>0</v>
      </c>
      <c r="F5" s="1238">
        <v>0</v>
      </c>
      <c r="G5" s="1238">
        <f>'1.7 ЖЭУ'!L23</f>
        <v>0</v>
      </c>
    </row>
    <row r="6" spans="2:7" ht="12.75">
      <c r="B6">
        <v>226</v>
      </c>
      <c r="C6" s="1256" t="e">
        <f>SUM(D6:G6)</f>
        <v>#REF!</v>
      </c>
      <c r="D6" s="1238" t="e">
        <f>'1.1дош'!F14+'1.1дош'!G14+'1.3 шк'!F9+'1.3 шк'!G9+'1.5 гор.спар.допр'!F14+'1.5 гор.спар.допр'!G14+'1.7 ЖЭУ'!#REF!+'1.7 ЖЭУ'!#REF!+'1.7 ЖЭУ'!F9+'1.7 ЖЭУ'!G9+'1.7 ЖЭУ'!F14+'1.7 ЖЭУ'!G14</f>
        <v>#REF!</v>
      </c>
      <c r="E6" s="1238" t="e">
        <f>'1.1дош'!F19+'1.1дош'!G19+'1.1дош'!F23+'1.1дош'!G23+'1.3 шк'!F25+'1.3 шк'!G25+'1.5 гор.спар.допр'!F20+'1.5 гор.спар.допр'!G20+'1.7 ЖЭУ'!F17+'1.7 ЖЭУ'!G17+'1.7 ЖЭУ'!F20+'1.7 ЖЭУ'!G20+#REF!+#REF!+'1.8 озд.лагеря'!F10+'1.8 озд.лагеря'!G10</f>
        <v>#REF!</v>
      </c>
      <c r="F6" s="1238">
        <f>'1.8 озд.лагеря'!F15+'1.8 озд.лагеря'!G15</f>
        <v>13172</v>
      </c>
      <c r="G6" s="1238">
        <f>'1.3 шк'!F45+'1.3 шк'!G45+'1.3 шк'!F48+'1.3 шк'!G48+'1.7 ЖЭУ'!F23+'1.7 ЖЭУ'!G23+'1.7 ЖЭУ'!F26+'1.7 ЖЭУ'!G26</f>
        <v>12848</v>
      </c>
    </row>
    <row r="7" spans="2:7" ht="12.75">
      <c r="B7">
        <v>290</v>
      </c>
      <c r="C7" s="1256" t="e">
        <f>SUM(D7:G7)</f>
        <v>#REF!</v>
      </c>
      <c r="D7" s="1238" t="e">
        <f>'1.1дош'!K14+'1.2 студ'!K9+'1.3 шк'!K9+'1.3 шк'!K14+'1.3 шк'!K19+'1.4 спарт.шк'!J11+'1.4 спарт.шк'!N11+'1.4 спарт.шк'!N14+'1.5 гор.спар.допр'!J8+'1.5 гор.спар.допр'!J14+'1.6 выезд.спар.допр'!N9+'1.7 ЖЭУ'!#REF!+'1.7 ЖЭУ'!K9+'1.7 ЖЭУ'!K14+#REF!</f>
        <v>#REF!</v>
      </c>
      <c r="E7" s="1238" t="e">
        <f>'1.1дош'!K19+'1.1дош'!K23+'1.2 студ'!K13+'1.2 студ'!K16+'1.3 шк'!K25+'1.3 шк'!K29+'1.4 спарт.шк'!N22+'1.4 спарт.шк'!J25+'1.4 спарт.шк'!N25+'1.5 гор.спар.допр'!J20+'1.6 выезд.спар.допр'!O12+'1.7 ЖЭУ'!K17+'1.7 ЖЭУ'!K20+#REF!+'1.8 озд.лагеря'!J10</f>
        <v>#REF!</v>
      </c>
      <c r="F7" s="1238">
        <f>'1.3 шк'!K36+'1.6 выезд.спар.допр'!O17+'1.8 озд.лагеря'!J15</f>
        <v>37820</v>
      </c>
      <c r="G7" s="1238">
        <f>'1.2 студ'!K20+'1.2 студ'!K23+'1.2 студ'!K26+'1.3 шк'!K40+'1.3 шк'!K45+'1.3 шк'!K48+'1.7 ЖЭУ'!K23+'1.7 ЖЭУ'!K26+'1.7 ЖЭУ'!K29</f>
        <v>51600</v>
      </c>
    </row>
    <row r="8" spans="3:7" ht="12.75">
      <c r="C8" s="1256"/>
      <c r="D8" s="1238"/>
      <c r="E8" s="1238"/>
      <c r="F8" s="1238"/>
      <c r="G8" s="1238"/>
    </row>
    <row r="9" spans="1:7" s="398" customFormat="1" ht="12.75">
      <c r="A9" s="398">
        <v>2</v>
      </c>
      <c r="C9" s="1256" t="e">
        <f>SUM(D9:G9)</f>
        <v>#REF!</v>
      </c>
      <c r="D9" s="1239" t="e">
        <f>SUM(D10:D12)</f>
        <v>#REF!</v>
      </c>
      <c r="E9" s="1239" t="e">
        <f>SUM(E10:E12)</f>
        <v>#REF!</v>
      </c>
      <c r="F9" s="1239" t="e">
        <f>SUM(F10:F12)</f>
        <v>#REF!</v>
      </c>
      <c r="G9" s="1239" t="e">
        <f>SUM(G10:G12)</f>
        <v>#REF!</v>
      </c>
    </row>
    <row r="10" spans="2:7" ht="12.75">
      <c r="B10">
        <v>224</v>
      </c>
      <c r="C10" s="1256">
        <f aca="true" t="shared" si="0" ref="C10:C48">SUM(D10:G10)</f>
        <v>155190</v>
      </c>
      <c r="D10" s="1238">
        <f>'2.2 г.орг'!M26+'2.2 г.орг'!M45</f>
        <v>86530</v>
      </c>
      <c r="E10" s="1238">
        <f>'2.2 г.орг'!M84+'2.2 г.орг'!M101</f>
        <v>9660</v>
      </c>
      <c r="F10" s="1238">
        <f>'2.2 г.орг'!M137</f>
        <v>0</v>
      </c>
      <c r="G10" s="1238">
        <f>'2.2 г.орг'!M175+'2.2 г.орг'!M223</f>
        <v>59000</v>
      </c>
    </row>
    <row r="11" spans="2:7" ht="12.75">
      <c r="B11">
        <v>226</v>
      </c>
      <c r="C11" s="1256" t="e">
        <f t="shared" si="0"/>
        <v>#REF!</v>
      </c>
      <c r="D11" s="1238" t="e">
        <f>'2.1 инв'!F9+'2.1 инв'!G9+'2.1 инв'!F12+'2.1 инв'!G12+'2.1 инв'!F16+'2.1 инв'!G16+'2.2 г.орг'!F45+'2.2 г.орг'!G45+'2.2 г.орг'!H45+'2.2 г.орг'!F63+'2.2 г.орг'!G63+'2.2 г.орг'!H63+'2.2 г.орг'!F26+'2.2 г.орг'!G26+'2.2 г.орг'!H26+'2.3 метод.'!F8+'2.3 метод.'!G8+#REF!+#REF!+#REF!+#REF!+#REF!+#REF!+#REF!+#REF!+#REF!+#REF!+#REF!</f>
        <v>#REF!</v>
      </c>
      <c r="E11" s="1238" t="e">
        <f>'2.1 инв'!F23+'2.1 инв'!G23+'2.1 инв'!F26+'2.1 инв'!G26+'2.2 г.орг'!F84+'2.2 г.орг'!G84+'2.2 г.орг'!H84+'2.2 г.орг'!F101+'2.2 г.орг'!G101+'2.3 метод.'!I11+#REF!+#REF!+#REF!+#REF!+'2.2 г.орг'!F116+'2.2 г.орг'!G116</f>
        <v>#REF!</v>
      </c>
      <c r="F11" s="1238" t="e">
        <f>'2.1 инв'!F29+'2.1 инв'!G29+'2.1 инв'!#REF!+'2.1 инв'!#REF!+'2.2 г.орг'!F122+'2.2 г.орг'!G122+#REF!+#REF!+'2.2 г.орг'!F142+'2.2 г.орг'!G142</f>
        <v>#REF!</v>
      </c>
      <c r="G11" s="1238" t="e">
        <f>'2.1 инв'!#REF!+'2.1 инв'!#REF!+'2.1 инв'!#REF!+'2.1 инв'!#REF!+'2.1 инв'!F34+'2.1 инв'!G34+'2.2 г.орг'!F175+'2.2 г.орг'!G175+'2.2 г.орг'!H175+'2.2 г.орг'!F202+'2.2 г.орг'!G202+'2.2 г.орг'!H202+'2.2 г.орг'!F223+'2.2 г.орг'!G223+'2.2 г.орг'!H223+'2.3 метод.'!I14+#REF!+#REF!+#REF!+#REF!+#REF!+#REF!+#REF!+#REF!+#REF!+#REF!</f>
        <v>#REF!</v>
      </c>
    </row>
    <row r="12" spans="2:7" ht="12.75">
      <c r="B12">
        <v>290</v>
      </c>
      <c r="C12" s="1256" t="e">
        <f t="shared" si="0"/>
        <v>#REF!</v>
      </c>
      <c r="D12" s="1238" t="e">
        <f>'2.1 инв'!J9+'2.1 инв'!J12+'2.1 инв'!J16+'2.2 г.орг'!L26+'2.2 г.орг'!L45+'2.2 г.орг'!L63+#REF!+#REF!+#REF!+#REF!+#REF!</f>
        <v>#REF!</v>
      </c>
      <c r="E12" s="1238" t="e">
        <f>'2.1 инв'!J23+'2.1 инв'!J26+'2.2 г.орг'!L84+'2.2 г.орг'!L101+#REF!+#REF!+#REF!+'2.2 г.орг'!L116</f>
        <v>#REF!</v>
      </c>
      <c r="F12" s="1238" t="e">
        <f>'2.1 инв'!J29+'2.1 инв'!#REF!+#REF!+'2.2 г.орг'!L137+'2.2 г.орг'!L122+#REF!+'2.2 г.орг'!L142</f>
        <v>#REF!</v>
      </c>
      <c r="G12" s="1238" t="e">
        <f>'2.1 инв'!#REF!+'2.1 инв'!#REF!+'2.1 инв'!J34+#REF!+'2.2 г.орг'!L175+'2.2 г.орг'!L202+'2.2 г.орг'!L223+#REF!+#REF!+#REF!+#REF!+#REF!</f>
        <v>#REF!</v>
      </c>
    </row>
    <row r="13" spans="3:7" ht="12.75">
      <c r="C13" s="1256"/>
      <c r="D13" s="1238"/>
      <c r="E13" s="1238"/>
      <c r="F13" s="1238"/>
      <c r="G13" s="1238"/>
    </row>
    <row r="14" spans="1:7" s="398" customFormat="1" ht="12.75">
      <c r="A14" s="398">
        <v>3</v>
      </c>
      <c r="C14" s="1256" t="e">
        <f t="shared" si="0"/>
        <v>#REF!</v>
      </c>
      <c r="D14" s="1239" t="e">
        <f>SUM(D15:D19)</f>
        <v>#REF!</v>
      </c>
      <c r="E14" s="1239" t="e">
        <f>SUM(E15:E19)</f>
        <v>#REF!</v>
      </c>
      <c r="F14" s="1239" t="e">
        <f>SUM(F15:F19)</f>
        <v>#REF!</v>
      </c>
      <c r="G14" s="1239" t="e">
        <f>SUM(G15:G19)</f>
        <v>#REF!</v>
      </c>
    </row>
    <row r="15" spans="2:7" ht="12.75">
      <c r="B15">
        <v>222</v>
      </c>
      <c r="C15" s="1256" t="e">
        <f t="shared" si="0"/>
        <v>#REF!</v>
      </c>
      <c r="D15" s="1238">
        <f>'3.2 всер.тур'!N8+'3.3 перв.'!N14+'3.3 перв.'!N18+'3.3 перв.'!N27</f>
        <v>17500</v>
      </c>
      <c r="E15" s="1238" t="e">
        <f>'3.3 перв.'!N33+'3.3 перв.'!N41+'3.4 спорт.гор'!N15+'3.4 спорт.гор'!#REF!+'3.4 спорт.гор'!#REF!+'2.2 г.орг'!N103</f>
        <v>#REF!</v>
      </c>
      <c r="F15" s="1238" t="e">
        <f>'3.3 перв.'!N49+'3.4 спорт.гор'!N18+'3.4 спорт.гор'!#REF!+'3.4 спорт.гор'!#REF!+#REF!+'2.2 г.орг'!N124</f>
        <v>#REF!</v>
      </c>
      <c r="G15" s="1238" t="e">
        <f>'3.2 всер.тур'!N26+'3.3 перв.'!N64+'3.4 спорт.гор'!#REF!+'3.4 спорт.гор'!N21+#REF!</f>
        <v>#REF!</v>
      </c>
    </row>
    <row r="16" spans="2:7" ht="12.75">
      <c r="B16">
        <v>224</v>
      </c>
      <c r="C16" s="1256" t="e">
        <f t="shared" si="0"/>
        <v>#REF!</v>
      </c>
      <c r="D16" s="1238">
        <f>'3.3 перв.'!M14</f>
        <v>8000</v>
      </c>
      <c r="E16" s="1238" t="e">
        <f>'3.4 спорт.гор'!M15+'3.4 спорт.гор'!#REF!+'2.2 г.орг'!M103</f>
        <v>#REF!</v>
      </c>
      <c r="F16" s="1238">
        <f>'2.2 г.орг'!M124</f>
        <v>0</v>
      </c>
      <c r="G16" s="1238" t="e">
        <f>'3.4 спорт.гор'!#REF!+'3.4 спорт.гор'!M28+#REF!+#REF!</f>
        <v>#REF!</v>
      </c>
    </row>
    <row r="17" spans="2:7" ht="12.75">
      <c r="B17">
        <v>226</v>
      </c>
      <c r="C17" s="1256" t="e">
        <f t="shared" si="0"/>
        <v>#REF!</v>
      </c>
      <c r="D17" s="1238" t="e">
        <f>'3.2 всер.тур'!F8+'3.2 всер.тур'!G8+'3.2 всер.тур'!H8+'3.3 перв.'!F18+'3.3 перв.'!G18+'3.3 перв.'!F14+'3.3 перв.'!G14+'3.3 перв.'!H14+'3.3 перв.'!F27+'3.3 перв.'!G27+'3.4 спорт.гор'!#REF!+'3.4 спорт.гор'!#REF!+'3.4 спорт.гор'!F9+'3.4 спорт.гор'!G9+'3.4 спорт.гор'!#REF!+'3.4 спорт.гор'!#REF!+#REF!</f>
        <v>#REF!</v>
      </c>
      <c r="E17" s="1240" t="e">
        <f>'3.2 всер.тур'!F11+'3.2 всер.тур'!G11+'3.2 всер.тур'!H11+'3.2 всер.тур'!#REF!+'3.2 всер.тур'!#REF!+'3.3 перв.'!F33+'3.3 перв.'!G33+'3.3 перв.'!F41+'3.3 перв.'!G41+'3.3 перв.'!H41+'3.3 перв.'!H45+'3.4 спорт.гор'!F15+'3.4 спорт.гор'!G15+'3.4 спорт.гор'!H15+'3.4 спорт.гор'!#REF!+'3.4 спорт.гор'!#REF!+'3.4 спорт.гор'!#REF!+'3.4 спорт.гор'!#REF!+'3.4 спорт.гор'!#REF!+'3.4 спорт.гор'!#REF!+'2.2 г.орг'!F103+'2.2 г.орг'!G103</f>
        <v>#REF!</v>
      </c>
      <c r="F17" s="1238" t="e">
        <f>'3.2 всер.тур'!H15+'3.3 перв.'!F49+'3.3 перв.'!G49+'3.4 спорт.гор'!F18+'3.4 спорт.гор'!G18+'3.4 спорт.гор'!#REF!+'3.4 спорт.гор'!#REF!+'3.4 спорт.гор'!#REF!+'3.4 спорт.гор'!#REF!+'2.2 г.орг'!F124+'2.2 г.орг'!G124</f>
        <v>#REF!</v>
      </c>
      <c r="G17" s="1238" t="e">
        <f>'3.2 всер.тур'!F18+'3.2 всер.тур'!G18+'3.2 всер.тур'!H18+'3.2 всер.тур'!F26+'3.2 всер.тур'!G26+'3.2 всер.тур'!H26+'3.3 перв.'!F52+'3.3 перв.'!G52+'3.3 перв.'!F56+'3.3 перв.'!G56+'3.3 перв.'!F64+'3.3 перв.'!G64+'3.3 перв.'!H64+'3.4 спорт.гор'!#REF!+'3.4 спорт.гор'!#REF!+'3.4 спорт.гор'!#REF!+'3.4 спорт.гор'!F21+'3.4 спорт.гор'!G21+'3.4 спорт.гор'!F28+'3.4 спорт.гор'!G28+'3.4 спорт.гор'!H28+#REF!+#REF!</f>
        <v>#REF!</v>
      </c>
    </row>
    <row r="18" spans="2:7" ht="12.75">
      <c r="B18">
        <v>290</v>
      </c>
      <c r="C18" s="1256" t="e">
        <f t="shared" si="0"/>
        <v>#REF!</v>
      </c>
      <c r="D18" s="1238" t="e">
        <f>'3.1 УТС'!H15+'3.1 УТС'!H23+'3.1 УТС'!H27+'3.2 всер.тур'!L8+'3.3 перв.'!L14+'3.3 перв.'!L18+'3.3 перв.'!L27+'3.4 спорт.гор'!#REF!+'3.4 спорт.гор'!L9+'3.4 спорт.гор'!#REF!+#REF!</f>
        <v>#REF!</v>
      </c>
      <c r="E18" s="1238" t="e">
        <f>'3.1 УТС'!H32+'3.1 УТС'!H36+'3.1 УТС'!H40+'3.2 всер.тур'!#REF!+'3.3 перв.'!L33+'3.3 перв.'!L41+'3.3 перв.'!L45+'3.4 спорт.гор'!L15+'3.4 спорт.гор'!#REF!+'3.4 спорт.гор'!#REF!+'2.2 г.орг'!L103</f>
        <v>#REF!</v>
      </c>
      <c r="F18" s="1238" t="e">
        <f>'3.1 УТС'!H44+'3.1 УТС'!H47+'3.1 УТС'!H53+'3.2 всер.тур'!L15+'3.3 перв.'!L49+'3.4 спорт.гор'!L18+'3.4 спорт.гор'!#REF!+'3.4 спорт.гор'!#REF!+#REF!+'2.2 г.орг'!L124</f>
        <v>#REF!</v>
      </c>
      <c r="G18" s="1238" t="e">
        <f>'3.1 УТС'!H59+'3.1 УТС'!H62+'3.1 УТС'!H65+'3.2 всер.тур'!L18+'3.2 всер.тур'!L26+'3.3 перв.'!L52+'3.3 перв.'!L56+'3.3 перв.'!L64+'3.4 спорт.гор'!#REF!+'3.4 спорт.гор'!L21+'3.4 спорт.гор'!L28+#REF!+#REF!</f>
        <v>#REF!</v>
      </c>
    </row>
    <row r="19" spans="2:7" ht="12.75">
      <c r="B19">
        <v>340</v>
      </c>
      <c r="C19" s="1256" t="e">
        <f t="shared" si="0"/>
        <v>#REF!</v>
      </c>
      <c r="D19" s="1238"/>
      <c r="E19" s="1238" t="e">
        <f>'3.2 всер.тур'!M11+'3.2 всер.тур'!#REF!+'2.2 г.орг'!O103</f>
        <v>#REF!</v>
      </c>
      <c r="F19" s="1238">
        <f>'2.2 г.орг'!O124</f>
        <v>0</v>
      </c>
      <c r="G19" s="1238" t="e">
        <f>#REF!</f>
        <v>#REF!</v>
      </c>
    </row>
    <row r="20" spans="3:7" ht="12.75">
      <c r="C20" s="1256"/>
      <c r="D20" s="1238"/>
      <c r="E20" s="1238"/>
      <c r="F20" s="1238"/>
      <c r="G20" s="1238"/>
    </row>
    <row r="21" spans="1:7" s="398" customFormat="1" ht="12.75">
      <c r="A21" s="398">
        <v>4</v>
      </c>
      <c r="C21" s="1256">
        <f t="shared" si="0"/>
        <v>2188284</v>
      </c>
      <c r="D21" s="1239">
        <f>SUM(D22:D24)</f>
        <v>300259</v>
      </c>
      <c r="E21" s="1239">
        <f>SUM(E22:E24)</f>
        <v>849680</v>
      </c>
      <c r="F21" s="1239">
        <f>SUM(F22:F24)</f>
        <v>528475</v>
      </c>
      <c r="G21" s="1239">
        <f>SUM(G22:G24)</f>
        <v>509870</v>
      </c>
    </row>
    <row r="22" spans="2:7" ht="12.75">
      <c r="B22">
        <v>222</v>
      </c>
      <c r="C22" s="1256">
        <f t="shared" si="0"/>
        <v>38500</v>
      </c>
      <c r="D22" s="1238">
        <v>0</v>
      </c>
      <c r="E22" s="1238">
        <f>'4.1 спорт выезд'!P90+'4.1 спорт выезд'!P106</f>
        <v>22000</v>
      </c>
      <c r="F22" s="1238">
        <f>'4.1 спорт выезд'!P149</f>
        <v>9000</v>
      </c>
      <c r="G22" s="1238">
        <f>'4.1 спорт выезд'!P195+'4.1 спорт выезд'!P213</f>
        <v>7500</v>
      </c>
    </row>
    <row r="23" spans="2:7" ht="12.75">
      <c r="B23">
        <v>226</v>
      </c>
      <c r="C23" s="1256">
        <f t="shared" si="0"/>
        <v>35220</v>
      </c>
      <c r="D23" s="1238">
        <f>'4.2 мед.обесп'!F14*3+'4.2 мед.обесп'!F8</f>
        <v>14430</v>
      </c>
      <c r="E23" s="1238">
        <f>'4.2 мед.обесп'!F14*3</f>
        <v>6930</v>
      </c>
      <c r="F23" s="1238">
        <f>'4.2 мед.обесп'!F14*3</f>
        <v>6930</v>
      </c>
      <c r="G23" s="1238">
        <f>'4.2 мед.обесп'!F14*3</f>
        <v>6930</v>
      </c>
    </row>
    <row r="24" spans="2:7" ht="12.75">
      <c r="B24">
        <v>290</v>
      </c>
      <c r="C24" s="1256">
        <f t="shared" si="0"/>
        <v>2114564</v>
      </c>
      <c r="D24" s="1238">
        <f>'4.1 спорт выезд'!Q26+'4.1 спорт выезд'!Q39+'4.1 спорт выезд'!Q45</f>
        <v>285829</v>
      </c>
      <c r="E24" s="1238">
        <f>'4.1 спорт выезд'!Q67+'4.1 спорт выезд'!Q90-'4.1 спорт выезд'!P90+'4.1 спорт выезд'!Q106</f>
        <v>820750</v>
      </c>
      <c r="F24" s="1238">
        <f>'4.1 спорт выезд'!Q118+'4.1 спорт выезд'!Q131+'4.1 спорт выезд'!Q149-'4.1 спорт выезд'!P149</f>
        <v>512545</v>
      </c>
      <c r="G24" s="1238">
        <f>'4.1 спорт выезд'!Q167+'4.1 спорт выезд'!Q195-'4.1 спорт выезд'!P195+'4.1 спорт выезд'!Q213-'4.1 спорт выезд'!P213</f>
        <v>495440</v>
      </c>
    </row>
    <row r="25" spans="3:7" ht="12.75">
      <c r="C25" s="1256"/>
      <c r="D25" s="1238"/>
      <c r="E25" s="1238"/>
      <c r="F25" s="1238"/>
      <c r="G25" s="1238"/>
    </row>
    <row r="26" spans="1:7" s="398" customFormat="1" ht="12.75">
      <c r="A26" s="398">
        <v>5</v>
      </c>
      <c r="B26"/>
      <c r="C26" s="1256">
        <f t="shared" si="0"/>
        <v>69420</v>
      </c>
      <c r="D26" s="1239">
        <f>SUM(D31+D27)</f>
        <v>17355</v>
      </c>
      <c r="E26" s="1239">
        <f>SUM(E31+E27)</f>
        <v>17355</v>
      </c>
      <c r="F26" s="1239">
        <f>SUM(F31+F27)</f>
        <v>17355</v>
      </c>
      <c r="G26" s="1239">
        <f>SUM(G31+G27)</f>
        <v>17355</v>
      </c>
    </row>
    <row r="27" spans="2:7" ht="12.75">
      <c r="B27" s="398">
        <v>223</v>
      </c>
      <c r="C27" s="1256">
        <f t="shared" si="0"/>
        <v>54620</v>
      </c>
      <c r="D27" s="1238">
        <f>SUM(D28:D30)</f>
        <v>13655</v>
      </c>
      <c r="E27" s="1238">
        <f>SUM(E28:E30)</f>
        <v>13655</v>
      </c>
      <c r="F27" s="1238">
        <f>SUM(F28:F30)</f>
        <v>13655</v>
      </c>
      <c r="G27" s="1238">
        <f>SUM(G28:G30)</f>
        <v>13655</v>
      </c>
    </row>
    <row r="28" spans="2:7" ht="12.75">
      <c r="B28">
        <v>131</v>
      </c>
      <c r="C28" s="1256">
        <f t="shared" si="0"/>
        <v>8400</v>
      </c>
      <c r="D28" s="1238">
        <f>'5 ком.клуб'!F14*3</f>
        <v>2100</v>
      </c>
      <c r="E28" s="1238">
        <v>2100</v>
      </c>
      <c r="F28" s="1238">
        <v>2100</v>
      </c>
      <c r="G28" s="1238">
        <v>2100</v>
      </c>
    </row>
    <row r="29" spans="2:7" ht="12.75">
      <c r="B29">
        <v>132</v>
      </c>
      <c r="C29" s="1256">
        <f t="shared" si="0"/>
        <v>42620</v>
      </c>
      <c r="D29" s="1238">
        <f>'5 ком.клуб'!D14*3-1</f>
        <v>10655</v>
      </c>
      <c r="E29" s="1238">
        <f>'5 ком.клуб'!D14*3-1</f>
        <v>10655</v>
      </c>
      <c r="F29" s="1238">
        <f>'5 ком.клуб'!D14*3-1</f>
        <v>10655</v>
      </c>
      <c r="G29" s="1238">
        <f>'5 ком.клуб'!D14*3-1</f>
        <v>10655</v>
      </c>
    </row>
    <row r="30" spans="2:7" ht="12.75">
      <c r="B30">
        <v>133</v>
      </c>
      <c r="C30" s="1256">
        <f t="shared" si="0"/>
        <v>3600</v>
      </c>
      <c r="D30" s="1238">
        <f>'5 ком.клуб'!E14*3</f>
        <v>900</v>
      </c>
      <c r="E30" s="1238">
        <v>900</v>
      </c>
      <c r="F30" s="1238">
        <v>900</v>
      </c>
      <c r="G30" s="1238">
        <v>900</v>
      </c>
    </row>
    <row r="31" spans="2:7" ht="12.75">
      <c r="B31">
        <v>221</v>
      </c>
      <c r="C31" s="1256">
        <f t="shared" si="0"/>
        <v>14800</v>
      </c>
      <c r="D31" s="14">
        <f>'5 ком.клуб'!G14*3</f>
        <v>3700</v>
      </c>
      <c r="E31" s="1238">
        <v>3700</v>
      </c>
      <c r="F31" s="1238">
        <v>3700</v>
      </c>
      <c r="G31" s="1238">
        <v>3700</v>
      </c>
    </row>
    <row r="32" spans="3:7" ht="12.75">
      <c r="C32" s="1256"/>
      <c r="D32" s="1238"/>
      <c r="E32" s="1238"/>
      <c r="F32" s="1238"/>
      <c r="G32" s="1238"/>
    </row>
    <row r="33" spans="1:7" ht="12.75">
      <c r="A33" s="398">
        <v>6</v>
      </c>
      <c r="B33">
        <v>226</v>
      </c>
      <c r="C33" s="1256">
        <f t="shared" si="0"/>
        <v>1692381</v>
      </c>
      <c r="D33" s="1238">
        <f>'6 штат'!L13/4</f>
        <v>420025.25</v>
      </c>
      <c r="E33" s="1238">
        <f>'6 штат'!L13/4</f>
        <v>420025.25</v>
      </c>
      <c r="F33" s="1238">
        <f>'6 штат'!L13/4</f>
        <v>420025.25</v>
      </c>
      <c r="G33" s="1238">
        <f>'6 штат'!L13/4+'6 штат'!L19</f>
        <v>432305.25</v>
      </c>
    </row>
    <row r="34" spans="3:7" ht="12.75">
      <c r="C34" s="1256"/>
      <c r="D34" s="1238"/>
      <c r="E34" s="1238"/>
      <c r="F34" s="1238"/>
      <c r="G34" s="1238"/>
    </row>
    <row r="35" spans="1:7" s="398" customFormat="1" ht="12.75">
      <c r="A35" s="398">
        <v>7</v>
      </c>
      <c r="C35" s="1256">
        <f t="shared" si="0"/>
        <v>495638</v>
      </c>
      <c r="D35" s="1239">
        <f>SUM(D36:D39)</f>
        <v>99408</v>
      </c>
      <c r="E35" s="1239">
        <f>SUM(E36:E39)</f>
        <v>99411</v>
      </c>
      <c r="F35" s="1239">
        <f>SUM(F36:F39)</f>
        <v>103160</v>
      </c>
      <c r="G35" s="1239">
        <f>SUM(G36:G39)</f>
        <v>193659</v>
      </c>
    </row>
    <row r="36" spans="2:7" ht="12.75">
      <c r="B36">
        <v>222</v>
      </c>
      <c r="C36" s="1256">
        <f t="shared" si="0"/>
        <v>7500</v>
      </c>
      <c r="D36" s="1238">
        <v>0</v>
      </c>
      <c r="E36" s="1238">
        <v>0</v>
      </c>
      <c r="F36" s="1238">
        <f>'7.1 инф'!G19/2</f>
        <v>3750</v>
      </c>
      <c r="G36" s="1238">
        <f>'7.1 инф'!G19/2</f>
        <v>3750</v>
      </c>
    </row>
    <row r="37" spans="2:7" ht="12.75">
      <c r="B37">
        <v>226</v>
      </c>
      <c r="C37" s="1256">
        <f t="shared" si="0"/>
        <v>302439</v>
      </c>
      <c r="D37" s="1238">
        <f>'7.1 инф'!E17*3+'7.2 грамот'!F5/4-1</f>
        <v>70484</v>
      </c>
      <c r="E37" s="1238">
        <f>'7.1 инф'!E17*3+'7.2 грамот'!F5/4</f>
        <v>70485</v>
      </c>
      <c r="F37" s="1238">
        <f>'7.1 инф'!E17*3+'7.2 грамот'!F5/4</f>
        <v>70485</v>
      </c>
      <c r="G37" s="1238">
        <f>'7.1 инф'!E17*3+'7.1 инф'!E29+'7.2 грамот'!F5/4</f>
        <v>90985</v>
      </c>
    </row>
    <row r="38" spans="2:7" ht="12.75">
      <c r="B38">
        <v>290</v>
      </c>
      <c r="C38" s="1256">
        <f t="shared" si="0"/>
        <v>126099</v>
      </c>
      <c r="D38" s="1238">
        <f>'7.2 грамот'!E5/4-1</f>
        <v>14524</v>
      </c>
      <c r="E38" s="1238">
        <f>('7.2 грамот'!E8+'7.2 грамот'!E10+'7.2 грамот'!E11+'7.2 грамот'!E12)/4+1</f>
        <v>14526</v>
      </c>
      <c r="F38" s="1238">
        <f>('7.2 грамот'!E8+'7.2 грамот'!E10+'7.2 грамот'!E11+'7.2 грамот'!E12)/4</f>
        <v>14525</v>
      </c>
      <c r="G38" s="1238">
        <f>'7.2 грамот'!E5/4+'7.2 грамот'!G23-1</f>
        <v>82524</v>
      </c>
    </row>
    <row r="39" spans="2:7" ht="12.75">
      <c r="B39">
        <v>340</v>
      </c>
      <c r="C39" s="1256">
        <f t="shared" si="0"/>
        <v>59600</v>
      </c>
      <c r="D39" s="1238">
        <f>'7.1 инф'!F17*3</f>
        <v>14400</v>
      </c>
      <c r="E39" s="1238">
        <v>14400</v>
      </c>
      <c r="F39" s="1238">
        <v>14400</v>
      </c>
      <c r="G39" s="1238">
        <v>16400</v>
      </c>
    </row>
    <row r="40" spans="3:7" ht="12.75">
      <c r="C40" s="1256"/>
      <c r="D40" s="1238"/>
      <c r="E40" s="1238"/>
      <c r="F40" s="1238"/>
      <c r="G40" s="1238"/>
    </row>
    <row r="41" spans="1:7" s="398" customFormat="1" ht="12.75">
      <c r="A41" s="398">
        <v>8</v>
      </c>
      <c r="C41" s="1256">
        <f>SUM(D41:G41)</f>
        <v>1470128</v>
      </c>
      <c r="D41" s="1239">
        <f>SUM(D42:D48)</f>
        <v>204496</v>
      </c>
      <c r="E41" s="1239">
        <f>SUM(E42:E48)</f>
        <v>856645</v>
      </c>
      <c r="F41" s="1239">
        <f>SUM(F42:F48)</f>
        <v>204494</v>
      </c>
      <c r="G41" s="1239">
        <f>SUM(G42:G48)</f>
        <v>204493</v>
      </c>
    </row>
    <row r="42" spans="2:8" ht="12.75">
      <c r="B42">
        <v>221</v>
      </c>
      <c r="C42" s="1256">
        <f t="shared" si="0"/>
        <v>30000</v>
      </c>
      <c r="D42" s="1238">
        <f>'8 спортинв'!G5/4</f>
        <v>7500</v>
      </c>
      <c r="E42" s="1238">
        <f>D42</f>
        <v>7500</v>
      </c>
      <c r="F42" s="1238">
        <f>E42</f>
        <v>7500</v>
      </c>
      <c r="G42" s="1238">
        <f>F42</f>
        <v>7500</v>
      </c>
      <c r="H42" s="1238"/>
    </row>
    <row r="43" spans="2:8" ht="12.75">
      <c r="B43">
        <v>225</v>
      </c>
      <c r="C43" s="1256">
        <f t="shared" si="0"/>
        <v>30998</v>
      </c>
      <c r="D43" s="14">
        <f>'8 спортинв'!E5/4</f>
        <v>7750</v>
      </c>
      <c r="E43" s="1238">
        <f>D43</f>
        <v>7750</v>
      </c>
      <c r="F43" s="1238">
        <f>E43-1</f>
        <v>7749</v>
      </c>
      <c r="G43" s="1238">
        <f>F43</f>
        <v>7749</v>
      </c>
      <c r="H43" s="1238"/>
    </row>
    <row r="44" spans="2:8" ht="12.75">
      <c r="B44">
        <v>226</v>
      </c>
      <c r="C44" s="1256">
        <f t="shared" si="0"/>
        <v>1505</v>
      </c>
      <c r="D44" s="14">
        <f>'8 спортинв'!F5/4+1</f>
        <v>377</v>
      </c>
      <c r="E44" s="1238">
        <f>D44-1</f>
        <v>376</v>
      </c>
      <c r="F44" s="1238">
        <f>E44</f>
        <v>376</v>
      </c>
      <c r="G44" s="1238">
        <f>F44</f>
        <v>376</v>
      </c>
      <c r="H44" s="1238"/>
    </row>
    <row r="45" spans="2:8" ht="12.75">
      <c r="B45">
        <v>290</v>
      </c>
      <c r="C45" s="1256">
        <f t="shared" si="0"/>
        <v>4000</v>
      </c>
      <c r="D45" s="1238">
        <f>'8 спортинв'!B5/4</f>
        <v>1000</v>
      </c>
      <c r="E45" s="1238">
        <f>D45</f>
        <v>1000</v>
      </c>
      <c r="F45" s="1238">
        <f>E45</f>
        <v>1000</v>
      </c>
      <c r="G45" s="1238">
        <f>F45</f>
        <v>1000</v>
      </c>
      <c r="H45" s="1238"/>
    </row>
    <row r="46" spans="2:8" ht="12.75">
      <c r="B46">
        <v>310</v>
      </c>
      <c r="C46" s="1256">
        <f t="shared" si="0"/>
        <v>652150</v>
      </c>
      <c r="D46" s="1238"/>
      <c r="E46" s="1238">
        <f>'8 спортинв'!D5</f>
        <v>652150</v>
      </c>
      <c r="F46" s="1238"/>
      <c r="G46" s="1238"/>
      <c r="H46" s="1238"/>
    </row>
    <row r="47" spans="2:9" ht="12.75">
      <c r="B47">
        <v>340</v>
      </c>
      <c r="C47" s="1256">
        <f t="shared" si="0"/>
        <v>620195</v>
      </c>
      <c r="D47" s="14">
        <f>'8 спортинв'!C5/4-D48</f>
        <v>155049</v>
      </c>
      <c r="E47" s="1238">
        <f>D47</f>
        <v>155049</v>
      </c>
      <c r="F47" s="1238">
        <f>E47</f>
        <v>155049</v>
      </c>
      <c r="G47" s="1238">
        <f>F47-1</f>
        <v>155048</v>
      </c>
      <c r="H47" s="1238">
        <f>C47-H48</f>
        <v>488915</v>
      </c>
      <c r="I47">
        <v>461427</v>
      </c>
    </row>
    <row r="48" spans="1:8" ht="12.75">
      <c r="A48" s="398">
        <v>137</v>
      </c>
      <c r="B48">
        <v>340</v>
      </c>
      <c r="C48" s="1256">
        <f t="shared" si="0"/>
        <v>131280</v>
      </c>
      <c r="D48" s="14">
        <f>H48/4</f>
        <v>32820</v>
      </c>
      <c r="E48" s="1238">
        <f>D48</f>
        <v>32820</v>
      </c>
      <c r="F48" s="1238">
        <f>E48</f>
        <v>32820</v>
      </c>
      <c r="G48" s="1238">
        <f>F48</f>
        <v>32820</v>
      </c>
      <c r="H48" s="1238">
        <v>131280</v>
      </c>
    </row>
    <row r="49" spans="1:8" ht="12.75">
      <c r="A49" s="1239">
        <f>D19+D39+D47</f>
        <v>169449</v>
      </c>
      <c r="C49" s="1256"/>
      <c r="D49" s="1238"/>
      <c r="E49" s="1238"/>
      <c r="F49" s="1238"/>
      <c r="G49" s="1238"/>
      <c r="H49" s="1238"/>
    </row>
    <row r="50" spans="3:7" ht="13.5" thickBot="1">
      <c r="C50" s="1256" t="s">
        <v>1075</v>
      </c>
      <c r="D50" s="1238">
        <v>1</v>
      </c>
      <c r="E50" s="1238">
        <v>2</v>
      </c>
      <c r="F50" s="1238">
        <v>3</v>
      </c>
      <c r="G50" s="1238">
        <v>4</v>
      </c>
    </row>
    <row r="51" spans="2:7" s="398" customFormat="1" ht="12.75">
      <c r="B51" s="1245">
        <v>221</v>
      </c>
      <c r="C51" s="1257">
        <f>SUM(D51:G51)</f>
        <v>44800</v>
      </c>
      <c r="D51" s="1246">
        <f>D31+D42</f>
        <v>11200</v>
      </c>
      <c r="E51" s="1246">
        <f>E31+E42</f>
        <v>11200</v>
      </c>
      <c r="F51" s="1246">
        <f>F31+F42</f>
        <v>11200</v>
      </c>
      <c r="G51" s="1247">
        <f>G31+G42</f>
        <v>11200</v>
      </c>
    </row>
    <row r="52" spans="2:7" s="398" customFormat="1" ht="13.5" customHeight="1">
      <c r="B52" s="1248">
        <v>222</v>
      </c>
      <c r="C52" s="1258" t="e">
        <f aca="true" t="shared" si="1" ref="C52:C62">SUM(D52:G52)</f>
        <v>#REF!</v>
      </c>
      <c r="D52" s="1243">
        <f>D4+D15+D22+D36</f>
        <v>63700</v>
      </c>
      <c r="E52" s="1243" t="e">
        <f>E4+E15+E22+E36</f>
        <v>#REF!</v>
      </c>
      <c r="F52" s="1243" t="e">
        <f>F4+F15+F22+F36</f>
        <v>#REF!</v>
      </c>
      <c r="G52" s="1249" t="e">
        <f>G4+G15+G22+G36</f>
        <v>#REF!</v>
      </c>
    </row>
    <row r="53" spans="2:8" s="398" customFormat="1" ht="12.75">
      <c r="B53" s="1248">
        <v>223</v>
      </c>
      <c r="C53" s="1258">
        <f t="shared" si="1"/>
        <v>8400</v>
      </c>
      <c r="D53" s="1242">
        <f aca="true" t="shared" si="2" ref="D53:G55">D28</f>
        <v>2100</v>
      </c>
      <c r="E53" s="1242">
        <f t="shared" si="2"/>
        <v>2100</v>
      </c>
      <c r="F53" s="1242">
        <f t="shared" si="2"/>
        <v>2100</v>
      </c>
      <c r="G53" s="1250">
        <f t="shared" si="2"/>
        <v>2100</v>
      </c>
      <c r="H53" s="1239"/>
    </row>
    <row r="54" spans="2:7" s="398" customFormat="1" ht="12.75">
      <c r="B54" s="1248">
        <v>223</v>
      </c>
      <c r="C54" s="1258">
        <f t="shared" si="1"/>
        <v>42620</v>
      </c>
      <c r="D54" s="1242">
        <f t="shared" si="2"/>
        <v>10655</v>
      </c>
      <c r="E54" s="1242">
        <f t="shared" si="2"/>
        <v>10655</v>
      </c>
      <c r="F54" s="1242">
        <f t="shared" si="2"/>
        <v>10655</v>
      </c>
      <c r="G54" s="1250">
        <f t="shared" si="2"/>
        <v>10655</v>
      </c>
    </row>
    <row r="55" spans="2:7" s="398" customFormat="1" ht="12.75">
      <c r="B55" s="1248">
        <v>223</v>
      </c>
      <c r="C55" s="1258">
        <f t="shared" si="1"/>
        <v>3600</v>
      </c>
      <c r="D55" s="1242">
        <f t="shared" si="2"/>
        <v>900</v>
      </c>
      <c r="E55" s="1242">
        <f t="shared" si="2"/>
        <v>900</v>
      </c>
      <c r="F55" s="1242">
        <f t="shared" si="2"/>
        <v>900</v>
      </c>
      <c r="G55" s="1250">
        <f t="shared" si="2"/>
        <v>900</v>
      </c>
    </row>
    <row r="56" spans="2:7" s="398" customFormat="1" ht="12.75">
      <c r="B56" s="1248">
        <v>224</v>
      </c>
      <c r="C56" s="1258" t="e">
        <f t="shared" si="1"/>
        <v>#REF!</v>
      </c>
      <c r="D56" s="1242" t="e">
        <f>D5+D10+D16</f>
        <v>#REF!</v>
      </c>
      <c r="E56" s="1242" t="e">
        <f>E5+E10+E16</f>
        <v>#REF!</v>
      </c>
      <c r="F56" s="1242">
        <f>F5+F10+F16</f>
        <v>0</v>
      </c>
      <c r="G56" s="1250" t="e">
        <f>G5+G10+G16</f>
        <v>#REF!</v>
      </c>
    </row>
    <row r="57" spans="2:7" s="398" customFormat="1" ht="12.75">
      <c r="B57" s="1248">
        <v>225</v>
      </c>
      <c r="C57" s="1258">
        <f t="shared" si="1"/>
        <v>30998</v>
      </c>
      <c r="D57" s="1243">
        <f>D43</f>
        <v>7750</v>
      </c>
      <c r="E57" s="1243">
        <f>E43</f>
        <v>7750</v>
      </c>
      <c r="F57" s="1243">
        <f>F43</f>
        <v>7749</v>
      </c>
      <c r="G57" s="1249">
        <f>G43</f>
        <v>7749</v>
      </c>
    </row>
    <row r="58" spans="2:7" s="398" customFormat="1" ht="12.75">
      <c r="B58" s="1248">
        <v>226</v>
      </c>
      <c r="C58" s="1258" t="e">
        <f t="shared" si="1"/>
        <v>#REF!</v>
      </c>
      <c r="D58" s="1242" t="e">
        <f>D6+D11+D17+D23+D33+D37+D44</f>
        <v>#REF!</v>
      </c>
      <c r="E58" s="1242" t="e">
        <f>E6+E11+E17+E23+E33+E37+E44</f>
        <v>#REF!</v>
      </c>
      <c r="F58" s="1242" t="e">
        <f>F6+F11+F17+F23+F33+F37+F44</f>
        <v>#REF!</v>
      </c>
      <c r="G58" s="1250" t="e">
        <f>G6+G11+G17+G23+G33+G37+G44</f>
        <v>#REF!</v>
      </c>
    </row>
    <row r="59" spans="2:7" s="398" customFormat="1" ht="12.75">
      <c r="B59" s="1248">
        <v>290</v>
      </c>
      <c r="C59" s="1258" t="e">
        <f t="shared" si="1"/>
        <v>#REF!</v>
      </c>
      <c r="D59" s="1242" t="e">
        <f>D7+D12+D18+D24+D38+D45</f>
        <v>#REF!</v>
      </c>
      <c r="E59" s="1242" t="e">
        <f>E7+E12+E18+E24+E38+E45</f>
        <v>#REF!</v>
      </c>
      <c r="F59" s="1242" t="e">
        <f>F7+F12+F18+F24+F38+F45</f>
        <v>#REF!</v>
      </c>
      <c r="G59" s="1250" t="e">
        <f>G7+G12+G18+G24+G38+G45</f>
        <v>#REF!</v>
      </c>
    </row>
    <row r="60" spans="2:7" ht="12.75">
      <c r="B60" s="1248">
        <v>310</v>
      </c>
      <c r="C60" s="1258">
        <f t="shared" si="1"/>
        <v>652150</v>
      </c>
      <c r="D60" s="1244">
        <f>D46</f>
        <v>0</v>
      </c>
      <c r="E60" s="1244">
        <f>E46</f>
        <v>652150</v>
      </c>
      <c r="F60" s="1244">
        <f>F46</f>
        <v>0</v>
      </c>
      <c r="G60" s="1251">
        <f>G46</f>
        <v>0</v>
      </c>
    </row>
    <row r="61" spans="2:7" s="398" customFormat="1" ht="12.75">
      <c r="B61" s="1248">
        <v>340</v>
      </c>
      <c r="C61" s="1258" t="e">
        <f t="shared" si="1"/>
        <v>#REF!</v>
      </c>
      <c r="D61" s="1242">
        <f>D19+D39+D47</f>
        <v>169449</v>
      </c>
      <c r="E61" s="1242" t="e">
        <f>E19+E39+E47</f>
        <v>#REF!</v>
      </c>
      <c r="F61" s="1242">
        <f>F19+F39+F47</f>
        <v>169449</v>
      </c>
      <c r="G61" s="1250" t="e">
        <f>G19+G39+G47</f>
        <v>#REF!</v>
      </c>
    </row>
    <row r="62" spans="1:7" s="398" customFormat="1" ht="12.75">
      <c r="A62" s="398">
        <v>137</v>
      </c>
      <c r="B62" s="1248" t="s">
        <v>1074</v>
      </c>
      <c r="C62" s="1258">
        <f t="shared" si="1"/>
        <v>131280</v>
      </c>
      <c r="D62" s="1243">
        <f>D48</f>
        <v>32820</v>
      </c>
      <c r="E62" s="1243">
        <f>E48</f>
        <v>32820</v>
      </c>
      <c r="F62" s="1243">
        <f>F48</f>
        <v>32820</v>
      </c>
      <c r="G62" s="1249">
        <f>G48</f>
        <v>32820</v>
      </c>
    </row>
    <row r="63" spans="1:7" ht="13.5" thickBot="1">
      <c r="A63" s="398" t="s">
        <v>318</v>
      </c>
      <c r="B63" s="1252" t="s">
        <v>484</v>
      </c>
      <c r="C63" s="1259" t="e">
        <f>SUM(C51:C62)</f>
        <v>#REF!</v>
      </c>
      <c r="D63" s="1253" t="e">
        <f>SUM(D51:D62)</f>
        <v>#REF!</v>
      </c>
      <c r="E63" s="1253" t="e">
        <f>SUM(E51:E62)</f>
        <v>#REF!</v>
      </c>
      <c r="F63" s="1253" t="e">
        <f>SUM(F51:F62)</f>
        <v>#REF!</v>
      </c>
      <c r="G63" s="1254" t="e">
        <f>SUM(G51:G62)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/>
  <dimension ref="A1:N53"/>
  <sheetViews>
    <sheetView showZeros="0" view="pageBreakPreview" zoomScale="50" zoomScaleNormal="75" zoomScaleSheetLayoutView="50" workbookViewId="0" topLeftCell="A1">
      <selection activeCell="Q28" sqref="Q28"/>
    </sheetView>
  </sheetViews>
  <sheetFormatPr defaultColWidth="9.00390625" defaultRowHeight="12.75"/>
  <cols>
    <col min="1" max="1" width="3.25390625" style="39" customWidth="1"/>
    <col min="2" max="2" width="30.375" style="39" customWidth="1"/>
    <col min="3" max="3" width="7.25390625" style="39" customWidth="1"/>
    <col min="4" max="4" width="8.00390625" style="39" customWidth="1"/>
    <col min="5" max="5" width="8.125" style="39" customWidth="1"/>
    <col min="6" max="6" width="6.625" style="39" customWidth="1"/>
    <col min="7" max="7" width="7.125" style="39" customWidth="1"/>
    <col min="8" max="8" width="5.625" style="39" customWidth="1"/>
    <col min="9" max="9" width="6.75390625" style="39" customWidth="1"/>
    <col min="10" max="10" width="6.625" style="39" customWidth="1"/>
    <col min="11" max="11" width="7.625" style="39" customWidth="1"/>
    <col min="12" max="12" width="10.75390625" style="39" customWidth="1"/>
    <col min="13" max="13" width="11.875" style="39" customWidth="1"/>
    <col min="14" max="14" width="10.00390625" style="39" customWidth="1"/>
    <col min="15" max="16384" width="9.125" style="39" customWidth="1"/>
  </cols>
  <sheetData>
    <row r="1" s="34" customFormat="1" ht="15">
      <c r="B1" s="290" t="s">
        <v>1576</v>
      </c>
    </row>
    <row r="2" spans="2:13" s="34" customFormat="1" ht="15.75" thickBot="1">
      <c r="B2" s="290"/>
      <c r="M2" s="256" t="s">
        <v>1815</v>
      </c>
    </row>
    <row r="3" spans="1:13" ht="15" customHeight="1">
      <c r="A3" s="715" t="s">
        <v>318</v>
      </c>
      <c r="B3" s="715"/>
      <c r="C3" s="1857" t="s">
        <v>1034</v>
      </c>
      <c r="D3" s="1858"/>
      <c r="E3" s="1858"/>
      <c r="F3" s="1858"/>
      <c r="G3" s="1848"/>
      <c r="H3" s="1849" t="s">
        <v>1035</v>
      </c>
      <c r="I3" s="1850"/>
      <c r="J3" s="1850"/>
      <c r="K3" s="1851"/>
      <c r="L3" s="715"/>
      <c r="M3" s="715"/>
    </row>
    <row r="4" spans="1:14" s="52" customFormat="1" ht="13.5" customHeight="1" thickBot="1">
      <c r="A4" s="1852" t="s">
        <v>316</v>
      </c>
      <c r="B4" s="1852" t="s">
        <v>317</v>
      </c>
      <c r="C4" s="1841" t="s">
        <v>901</v>
      </c>
      <c r="D4" s="1842"/>
      <c r="E4" s="1842"/>
      <c r="F4" s="1842"/>
      <c r="G4" s="1843"/>
      <c r="H4" s="1841" t="s">
        <v>902</v>
      </c>
      <c r="I4" s="1842"/>
      <c r="J4" s="1842"/>
      <c r="K4" s="1843"/>
      <c r="L4" s="718" t="s">
        <v>265</v>
      </c>
      <c r="M4" s="714" t="s">
        <v>1415</v>
      </c>
      <c r="N4" s="139"/>
    </row>
    <row r="5" spans="1:14" s="185" customFormat="1" ht="15" customHeight="1" thickBot="1">
      <c r="A5" s="1853"/>
      <c r="B5" s="1853"/>
      <c r="C5" s="272" t="s">
        <v>776</v>
      </c>
      <c r="D5" s="179" t="s">
        <v>777</v>
      </c>
      <c r="E5" s="179" t="s">
        <v>69</v>
      </c>
      <c r="F5" s="177" t="s">
        <v>778</v>
      </c>
      <c r="G5" s="272" t="s">
        <v>467</v>
      </c>
      <c r="H5" s="271" t="s">
        <v>1736</v>
      </c>
      <c r="I5" s="179" t="s">
        <v>1737</v>
      </c>
      <c r="J5" s="272" t="s">
        <v>785</v>
      </c>
      <c r="K5" s="179" t="s">
        <v>778</v>
      </c>
      <c r="L5" s="716" t="s">
        <v>1365</v>
      </c>
      <c r="M5" s="181"/>
      <c r="N5" s="182"/>
    </row>
    <row r="6" spans="1:14" ht="12.75">
      <c r="A6" s="120" t="s">
        <v>318</v>
      </c>
      <c r="B6" s="135" t="s">
        <v>367</v>
      </c>
      <c r="C6" s="106"/>
      <c r="D6" s="106"/>
      <c r="E6" s="121"/>
      <c r="F6" s="127"/>
      <c r="G6" s="127"/>
      <c r="H6" s="106"/>
      <c r="I6" s="106"/>
      <c r="J6" s="121"/>
      <c r="K6" s="127"/>
      <c r="L6" s="127"/>
      <c r="M6" s="129"/>
      <c r="N6" s="139"/>
    </row>
    <row r="7" spans="1:14" ht="12.75">
      <c r="A7" s="120">
        <v>1</v>
      </c>
      <c r="B7" s="1265" t="s">
        <v>73</v>
      </c>
      <c r="C7" s="106">
        <v>4</v>
      </c>
      <c r="D7" s="106">
        <v>8</v>
      </c>
      <c r="E7" s="121">
        <v>170</v>
      </c>
      <c r="F7" s="127">
        <f>C7*D7*E7</f>
        <v>5440</v>
      </c>
      <c r="G7" s="124">
        <f>F7*0.231</f>
        <v>1257</v>
      </c>
      <c r="H7" s="106"/>
      <c r="I7" s="106">
        <v>20</v>
      </c>
      <c r="J7" s="121">
        <v>150</v>
      </c>
      <c r="K7" s="39">
        <f>I7*J7</f>
        <v>3000</v>
      </c>
      <c r="L7" s="124">
        <f>SUM(F7:G7,K7:K7)</f>
        <v>9697</v>
      </c>
      <c r="M7" s="191" t="s">
        <v>928</v>
      </c>
      <c r="N7" s="139"/>
    </row>
    <row r="8" spans="1:14" ht="13.5" thickBot="1">
      <c r="A8" s="120">
        <v>2</v>
      </c>
      <c r="B8" s="1265" t="s">
        <v>74</v>
      </c>
      <c r="C8" s="106"/>
      <c r="D8" s="106"/>
      <c r="E8" s="121"/>
      <c r="F8" s="127">
        <f>C8*D8*E8</f>
        <v>0</v>
      </c>
      <c r="G8" s="124">
        <f>F8*0.231</f>
        <v>0</v>
      </c>
      <c r="H8" s="106"/>
      <c r="I8" s="106">
        <v>8</v>
      </c>
      <c r="J8" s="121">
        <v>150</v>
      </c>
      <c r="K8" s="39">
        <f>I8*J8</f>
        <v>1200</v>
      </c>
      <c r="L8" s="124">
        <f>SUM(F8:G8,K8:K8)</f>
        <v>1200</v>
      </c>
      <c r="M8" s="191" t="s">
        <v>928</v>
      </c>
      <c r="N8" s="139"/>
    </row>
    <row r="9" spans="1:14" s="702" customFormat="1" ht="12.75" customHeight="1" thickBot="1">
      <c r="A9" s="693"/>
      <c r="B9" s="697" t="s">
        <v>1783</v>
      </c>
      <c r="C9" s="696"/>
      <c r="D9" s="696"/>
      <c r="E9" s="697"/>
      <c r="F9" s="698">
        <f>SUM(F7:F8)</f>
        <v>5440</v>
      </c>
      <c r="G9" s="698">
        <f>SUM(G7:G8)</f>
        <v>1257</v>
      </c>
      <c r="H9" s="696"/>
      <c r="I9" s="696"/>
      <c r="J9" s="697"/>
      <c r="K9" s="697">
        <f>SUM(K7:K8)</f>
        <v>4200</v>
      </c>
      <c r="L9" s="698">
        <f>SUM(L7:L8)</f>
        <v>10897</v>
      </c>
      <c r="M9" s="719"/>
      <c r="N9" s="720"/>
    </row>
    <row r="10" spans="1:14" ht="12.75">
      <c r="A10" s="120" t="s">
        <v>318</v>
      </c>
      <c r="B10" s="197" t="s">
        <v>1784</v>
      </c>
      <c r="C10" s="106"/>
      <c r="D10" s="106"/>
      <c r="E10" s="121"/>
      <c r="F10" s="127"/>
      <c r="G10" s="124"/>
      <c r="H10" s="106"/>
      <c r="I10" s="106"/>
      <c r="J10" s="121"/>
      <c r="K10" s="121"/>
      <c r="L10" s="121" t="s">
        <v>318</v>
      </c>
      <c r="M10" s="129"/>
      <c r="N10" s="139"/>
    </row>
    <row r="11" spans="1:14" s="665" customFormat="1" ht="24">
      <c r="A11" s="326">
        <v>1</v>
      </c>
      <c r="B11" s="238" t="s">
        <v>1667</v>
      </c>
      <c r="C11" s="327">
        <v>2</v>
      </c>
      <c r="D11" s="327">
        <v>2</v>
      </c>
      <c r="E11" s="261">
        <v>170</v>
      </c>
      <c r="F11" s="127">
        <f>C11*D11*E11</f>
        <v>680</v>
      </c>
      <c r="G11" s="331">
        <f>F11*0.228</f>
        <v>155</v>
      </c>
      <c r="H11" s="327"/>
      <c r="I11" s="327">
        <v>6</v>
      </c>
      <c r="J11" s="261">
        <v>150</v>
      </c>
      <c r="K11" s="238">
        <f>I11*J11</f>
        <v>900</v>
      </c>
      <c r="L11" s="243">
        <f>F11+G11+K11</f>
        <v>1735</v>
      </c>
      <c r="M11" s="1158" t="s">
        <v>1363</v>
      </c>
      <c r="N11" s="190"/>
    </row>
    <row r="12" spans="1:14" s="665" customFormat="1" ht="24">
      <c r="A12" s="249">
        <v>2</v>
      </c>
      <c r="B12" s="236" t="s">
        <v>1668</v>
      </c>
      <c r="C12" s="190">
        <v>2</v>
      </c>
      <c r="D12" s="190">
        <v>2</v>
      </c>
      <c r="E12" s="190">
        <v>170</v>
      </c>
      <c r="F12" s="258">
        <f>C12*D12*E12</f>
        <v>680</v>
      </c>
      <c r="G12" s="260">
        <f>F12*0.228</f>
        <v>155</v>
      </c>
      <c r="H12" s="258"/>
      <c r="I12" s="190">
        <v>6</v>
      </c>
      <c r="J12" s="190">
        <v>150</v>
      </c>
      <c r="K12" s="236">
        <f>I12*J12</f>
        <v>900</v>
      </c>
      <c r="L12" s="243">
        <f>F12+G12+K12</f>
        <v>1735</v>
      </c>
      <c r="M12" s="191" t="s">
        <v>928</v>
      </c>
      <c r="N12" s="190"/>
    </row>
    <row r="13" spans="1:14" s="665" customFormat="1" ht="13.5" thickBot="1">
      <c r="A13" s="248"/>
      <c r="B13" s="236"/>
      <c r="C13" s="190"/>
      <c r="D13" s="190"/>
      <c r="E13" s="242"/>
      <c r="F13" s="236"/>
      <c r="G13" s="243"/>
      <c r="H13" s="190"/>
      <c r="I13" s="190"/>
      <c r="J13" s="190"/>
      <c r="K13" s="236"/>
      <c r="L13" s="236"/>
      <c r="M13" s="191"/>
      <c r="N13" s="190"/>
    </row>
    <row r="14" spans="1:14" s="702" customFormat="1" ht="12.75" customHeight="1" thickBot="1">
      <c r="A14" s="693"/>
      <c r="B14" s="694" t="s">
        <v>1783</v>
      </c>
      <c r="C14" s="696"/>
      <c r="D14" s="696"/>
      <c r="E14" s="697"/>
      <c r="F14" s="703">
        <f>SUM(F11:F13)</f>
        <v>1360</v>
      </c>
      <c r="G14" s="703">
        <f>SUM(G11)</f>
        <v>155</v>
      </c>
      <c r="H14" s="696"/>
      <c r="I14" s="696"/>
      <c r="J14" s="696"/>
      <c r="K14" s="703">
        <f>SUM(K11:K13)</f>
        <v>1800</v>
      </c>
      <c r="L14" s="703">
        <f>SUM(L11:L13)</f>
        <v>3470</v>
      </c>
      <c r="M14" s="719"/>
      <c r="N14" s="720"/>
    </row>
    <row r="15" spans="1:14" ht="12.75">
      <c r="A15" s="120" t="s">
        <v>318</v>
      </c>
      <c r="B15" s="197" t="s">
        <v>1785</v>
      </c>
      <c r="C15" s="106"/>
      <c r="D15" s="106"/>
      <c r="E15" s="121"/>
      <c r="F15" s="127"/>
      <c r="G15" s="124"/>
      <c r="H15" s="106"/>
      <c r="I15" s="106"/>
      <c r="J15" s="106"/>
      <c r="K15" s="127"/>
      <c r="L15" s="127"/>
      <c r="M15" s="129"/>
      <c r="N15" s="139"/>
    </row>
    <row r="16" spans="1:14" s="268" customFormat="1" ht="21.75" customHeight="1">
      <c r="A16" s="248">
        <v>1</v>
      </c>
      <c r="B16" s="236" t="s">
        <v>1669</v>
      </c>
      <c r="C16" s="190">
        <v>2</v>
      </c>
      <c r="D16" s="190">
        <v>2</v>
      </c>
      <c r="E16" s="242">
        <v>170</v>
      </c>
      <c r="F16" s="236">
        <f>C16*D16*E16</f>
        <v>680</v>
      </c>
      <c r="G16" s="243">
        <f>F16*0.228</f>
        <v>155</v>
      </c>
      <c r="H16" s="190"/>
      <c r="I16" s="190">
        <v>6</v>
      </c>
      <c r="J16" s="190">
        <v>150</v>
      </c>
      <c r="K16" s="236">
        <f>I16*J16</f>
        <v>900</v>
      </c>
      <c r="L16" s="243">
        <f>F16+G16+K16</f>
        <v>1735</v>
      </c>
      <c r="M16" s="191" t="s">
        <v>1363</v>
      </c>
      <c r="N16" s="189"/>
    </row>
    <row r="17" spans="1:14" s="268" customFormat="1" ht="25.5" customHeight="1">
      <c r="A17" s="248">
        <v>2</v>
      </c>
      <c r="B17" s="236" t="s">
        <v>1670</v>
      </c>
      <c r="C17" s="190">
        <v>1</v>
      </c>
      <c r="D17" s="190">
        <v>1</v>
      </c>
      <c r="E17" s="242">
        <v>170</v>
      </c>
      <c r="F17" s="236">
        <f>C17*D17*E17</f>
        <v>170</v>
      </c>
      <c r="G17" s="243">
        <f>F17*0.228</f>
        <v>39</v>
      </c>
      <c r="H17" s="190"/>
      <c r="I17" s="190">
        <v>9</v>
      </c>
      <c r="J17" s="190">
        <v>150</v>
      </c>
      <c r="K17" s="236">
        <f>I17*J17</f>
        <v>1350</v>
      </c>
      <c r="L17" s="243">
        <f>F17+G17+K17</f>
        <v>1559</v>
      </c>
      <c r="M17" s="191" t="s">
        <v>1363</v>
      </c>
      <c r="N17" s="189"/>
    </row>
    <row r="18" spans="1:14" s="268" customFormat="1" ht="36.75" customHeight="1" thickBot="1">
      <c r="A18" s="248">
        <v>3</v>
      </c>
      <c r="B18" s="236" t="s">
        <v>1048</v>
      </c>
      <c r="C18" s="190">
        <v>2</v>
      </c>
      <c r="D18" s="190">
        <v>6</v>
      </c>
      <c r="E18" s="242">
        <v>170</v>
      </c>
      <c r="F18" s="236">
        <f>C18*D18*E18</f>
        <v>2040</v>
      </c>
      <c r="G18" s="243">
        <f>F18*0.228</f>
        <v>465</v>
      </c>
      <c r="H18" s="190"/>
      <c r="I18" s="190">
        <v>10</v>
      </c>
      <c r="J18" s="190">
        <v>150</v>
      </c>
      <c r="K18" s="236">
        <f>I18*J18</f>
        <v>1500</v>
      </c>
      <c r="L18" s="243">
        <f>F18+G18+K18</f>
        <v>4005</v>
      </c>
      <c r="M18" s="191" t="s">
        <v>1363</v>
      </c>
      <c r="N18" s="189"/>
    </row>
    <row r="19" spans="1:14" s="702" customFormat="1" ht="12.75" customHeight="1" thickBot="1">
      <c r="A19" s="693"/>
      <c r="B19" s="694" t="s">
        <v>1783</v>
      </c>
      <c r="C19" s="696"/>
      <c r="D19" s="696"/>
      <c r="E19" s="697"/>
      <c r="F19" s="694">
        <f>SUM(F16:F18)</f>
        <v>2890</v>
      </c>
      <c r="G19" s="703">
        <f>SUM(G16:G18)</f>
        <v>659</v>
      </c>
      <c r="H19" s="696"/>
      <c r="I19" s="696"/>
      <c r="J19" s="696"/>
      <c r="K19" s="694">
        <f>SUM(K16:K18)</f>
        <v>3750</v>
      </c>
      <c r="L19" s="703">
        <f>SUM(L16:L18)</f>
        <v>7299</v>
      </c>
      <c r="M19" s="719"/>
      <c r="N19" s="720"/>
    </row>
    <row r="20" spans="1:14" s="1139" customFormat="1" ht="12.75" customHeight="1" thickBot="1">
      <c r="A20" s="1140"/>
      <c r="B20" s="1141" t="s">
        <v>1453</v>
      </c>
      <c r="C20" s="1142"/>
      <c r="D20" s="1142"/>
      <c r="E20" s="1143"/>
      <c r="F20" s="1160">
        <f aca="true" t="shared" si="0" ref="F20:L20">F9+F14+F19</f>
        <v>9690</v>
      </c>
      <c r="G20" s="1160">
        <f t="shared" si="0"/>
        <v>2071</v>
      </c>
      <c r="H20" s="1160">
        <f t="shared" si="0"/>
        <v>0</v>
      </c>
      <c r="I20" s="1160">
        <f t="shared" si="0"/>
        <v>0</v>
      </c>
      <c r="J20" s="1160">
        <f t="shared" si="0"/>
        <v>0</v>
      </c>
      <c r="K20" s="1160">
        <f t="shared" si="0"/>
        <v>9750</v>
      </c>
      <c r="L20" s="1160">
        <f t="shared" si="0"/>
        <v>21666</v>
      </c>
      <c r="M20" s="1156"/>
      <c r="N20" s="1137"/>
    </row>
    <row r="21" spans="1:14" ht="12.75">
      <c r="A21" s="120" t="s">
        <v>318</v>
      </c>
      <c r="B21" s="197" t="s">
        <v>1786</v>
      </c>
      <c r="C21" s="106"/>
      <c r="D21" s="106"/>
      <c r="E21" s="121"/>
      <c r="F21" s="127"/>
      <c r="G21" s="124"/>
      <c r="H21" s="106"/>
      <c r="I21" s="106"/>
      <c r="J21" s="106"/>
      <c r="K21" s="127"/>
      <c r="L21" s="127"/>
      <c r="M21" s="129"/>
      <c r="N21" s="139"/>
    </row>
    <row r="22" spans="1:14" s="665" customFormat="1" ht="25.5" customHeight="1">
      <c r="A22" s="1264">
        <v>1</v>
      </c>
      <c r="B22" s="997" t="s">
        <v>641</v>
      </c>
      <c r="C22" s="190">
        <v>2</v>
      </c>
      <c r="D22" s="190">
        <v>8</v>
      </c>
      <c r="E22" s="242">
        <v>170</v>
      </c>
      <c r="F22" s="236">
        <f>C22*D22*E22</f>
        <v>2720</v>
      </c>
      <c r="G22" s="243">
        <f>F22*0.231</f>
        <v>628</v>
      </c>
      <c r="H22" s="190"/>
      <c r="I22" s="190">
        <v>6</v>
      </c>
      <c r="J22" s="242">
        <v>150</v>
      </c>
      <c r="K22" s="236">
        <f>I22*J22</f>
        <v>900</v>
      </c>
      <c r="L22" s="243">
        <f>SUM(F22:G22,K22:K22)</f>
        <v>4248</v>
      </c>
      <c r="M22" s="191" t="s">
        <v>927</v>
      </c>
      <c r="N22" s="190"/>
    </row>
    <row r="23" spans="1:14" ht="12.75">
      <c r="A23" s="806">
        <v>2</v>
      </c>
      <c r="B23" s="121" t="s">
        <v>76</v>
      </c>
      <c r="C23" s="106">
        <v>1</v>
      </c>
      <c r="D23" s="106">
        <v>2</v>
      </c>
      <c r="E23" s="121">
        <v>170</v>
      </c>
      <c r="F23" s="127">
        <f>C23*D23*E23</f>
        <v>340</v>
      </c>
      <c r="G23" s="243">
        <f>F23*0.231</f>
        <v>79</v>
      </c>
      <c r="H23" s="106"/>
      <c r="I23" s="106">
        <v>8</v>
      </c>
      <c r="J23" s="106">
        <v>150</v>
      </c>
      <c r="K23" s="236">
        <f>I23*J23</f>
        <v>1200</v>
      </c>
      <c r="L23" s="243">
        <f>F23+G23+K23</f>
        <v>1619</v>
      </c>
      <c r="M23" s="191" t="s">
        <v>1363</v>
      </c>
      <c r="N23" s="139"/>
    </row>
    <row r="24" spans="1:14" ht="12.75" customHeight="1" thickBot="1">
      <c r="A24" s="806">
        <v>3</v>
      </c>
      <c r="B24" s="1159" t="s">
        <v>536</v>
      </c>
      <c r="C24" s="106">
        <v>2</v>
      </c>
      <c r="D24" s="106">
        <v>9</v>
      </c>
      <c r="E24" s="121">
        <v>170</v>
      </c>
      <c r="F24" s="127">
        <f>C24*D24*E24</f>
        <v>3060</v>
      </c>
      <c r="G24" s="243">
        <f>F24*0.231</f>
        <v>707</v>
      </c>
      <c r="H24" s="106"/>
      <c r="I24" s="106">
        <v>8</v>
      </c>
      <c r="J24" s="106">
        <v>150</v>
      </c>
      <c r="K24" s="236">
        <f>I24*J24</f>
        <v>1200</v>
      </c>
      <c r="L24" s="243">
        <f>F24+G24+K24</f>
        <v>4967</v>
      </c>
      <c r="M24" s="191" t="s">
        <v>1363</v>
      </c>
      <c r="N24" s="139"/>
    </row>
    <row r="25" spans="1:14" s="702" customFormat="1" ht="12.75" customHeight="1" thickBot="1">
      <c r="A25" s="693"/>
      <c r="B25" s="694" t="s">
        <v>1783</v>
      </c>
      <c r="C25" s="696"/>
      <c r="D25" s="696"/>
      <c r="E25" s="697"/>
      <c r="F25" s="694">
        <f>SUM(F22:F24)</f>
        <v>6120</v>
      </c>
      <c r="G25" s="694">
        <f>SUM(G22:G24)</f>
        <v>1414</v>
      </c>
      <c r="H25" s="696"/>
      <c r="I25" s="696"/>
      <c r="J25" s="696"/>
      <c r="K25" s="694">
        <f>SUM(K22:K24)</f>
        <v>3300</v>
      </c>
      <c r="L25" s="703">
        <f>SUM(L22:L24)</f>
        <v>10834</v>
      </c>
      <c r="M25" s="719"/>
      <c r="N25" s="720">
        <f>SUM(F25:K25)</f>
        <v>10834</v>
      </c>
    </row>
    <row r="26" spans="1:14" ht="12.75">
      <c r="A26" s="120" t="s">
        <v>318</v>
      </c>
      <c r="B26" s="197" t="s">
        <v>1149</v>
      </c>
      <c r="C26" s="106"/>
      <c r="D26" s="106"/>
      <c r="E26" s="121"/>
      <c r="F26" s="127"/>
      <c r="G26" s="124"/>
      <c r="H26" s="106"/>
      <c r="I26" s="106"/>
      <c r="J26" s="106"/>
      <c r="K26" s="127"/>
      <c r="L26" s="127"/>
      <c r="M26" s="129"/>
      <c r="N26" s="139"/>
    </row>
    <row r="27" spans="1:14" s="36" customFormat="1" ht="24.75" customHeight="1">
      <c r="A27" s="120">
        <v>1</v>
      </c>
      <c r="B27" s="236" t="s">
        <v>1022</v>
      </c>
      <c r="C27" s="106"/>
      <c r="D27" s="106"/>
      <c r="E27" s="121"/>
      <c r="F27" s="127">
        <f>C27*D27*E27</f>
        <v>0</v>
      </c>
      <c r="G27" s="124">
        <f>F27*0.228</f>
        <v>0</v>
      </c>
      <c r="H27" s="106"/>
      <c r="I27" s="106">
        <v>2</v>
      </c>
      <c r="J27" s="106">
        <v>150</v>
      </c>
      <c r="K27" s="127">
        <f>I27*J27</f>
        <v>300</v>
      </c>
      <c r="L27" s="127">
        <f>SUM(K27:K27)</f>
        <v>300</v>
      </c>
      <c r="M27" s="129" t="s">
        <v>1363</v>
      </c>
      <c r="N27" s="224"/>
    </row>
    <row r="28" spans="1:14" ht="24.75" thickBot="1">
      <c r="A28" s="120">
        <v>2</v>
      </c>
      <c r="B28" s="236" t="s">
        <v>287</v>
      </c>
      <c r="C28" s="106"/>
      <c r="D28" s="106"/>
      <c r="E28" s="121"/>
      <c r="F28" s="127">
        <f>C28*D28*E28</f>
        <v>0</v>
      </c>
      <c r="G28" s="124">
        <f>F28*0.228</f>
        <v>0</v>
      </c>
      <c r="H28" s="106"/>
      <c r="I28" s="106">
        <v>12</v>
      </c>
      <c r="J28" s="106">
        <v>1000</v>
      </c>
      <c r="K28" s="127">
        <f>I28*J28</f>
        <v>12000</v>
      </c>
      <c r="L28" s="127">
        <f>SUM(K28:K28)</f>
        <v>12000</v>
      </c>
      <c r="M28" s="129" t="s">
        <v>1363</v>
      </c>
      <c r="N28" s="139"/>
    </row>
    <row r="29" spans="1:14" s="36" customFormat="1" ht="12.75" customHeight="1" thickBot="1">
      <c r="A29" s="130"/>
      <c r="B29" s="133" t="s">
        <v>1783</v>
      </c>
      <c r="C29" s="132"/>
      <c r="D29" s="132"/>
      <c r="E29" s="131"/>
      <c r="F29" s="133">
        <f>SUM(F28:F28)</f>
        <v>0</v>
      </c>
      <c r="G29" s="136">
        <f>SUM(G28:G28)</f>
        <v>0</v>
      </c>
      <c r="H29" s="132"/>
      <c r="I29" s="132"/>
      <c r="J29" s="132"/>
      <c r="K29" s="133">
        <f>SUM(K28:K28)</f>
        <v>12000</v>
      </c>
      <c r="L29" s="133">
        <f>SUM(L27:L28)</f>
        <v>12300</v>
      </c>
      <c r="M29" s="134"/>
      <c r="N29" s="224"/>
    </row>
    <row r="30" spans="1:14" s="1139" customFormat="1" ht="12.75" customHeight="1" thickBot="1">
      <c r="A30" s="1140"/>
      <c r="B30" s="1141" t="s">
        <v>1454</v>
      </c>
      <c r="C30" s="1142"/>
      <c r="D30" s="1142"/>
      <c r="E30" s="1143"/>
      <c r="F30" s="1141">
        <f aca="true" t="shared" si="1" ref="F30:L30">F25+F29</f>
        <v>6120</v>
      </c>
      <c r="G30" s="1160">
        <f t="shared" si="1"/>
        <v>1414</v>
      </c>
      <c r="H30" s="1141">
        <f t="shared" si="1"/>
        <v>0</v>
      </c>
      <c r="I30" s="1141">
        <f t="shared" si="1"/>
        <v>0</v>
      </c>
      <c r="J30" s="1141">
        <f t="shared" si="1"/>
        <v>0</v>
      </c>
      <c r="K30" s="1141">
        <f t="shared" si="1"/>
        <v>15300</v>
      </c>
      <c r="L30" s="1160">
        <f t="shared" si="1"/>
        <v>23134</v>
      </c>
      <c r="M30" s="1156"/>
      <c r="N30" s="1137"/>
    </row>
    <row r="31" spans="1:14" s="36" customFormat="1" ht="12.75" customHeight="1">
      <c r="A31" s="120" t="s">
        <v>318</v>
      </c>
      <c r="B31" s="197" t="s">
        <v>138</v>
      </c>
      <c r="C31" s="106"/>
      <c r="D31" s="106"/>
      <c r="E31" s="121"/>
      <c r="F31" s="127"/>
      <c r="G31" s="124"/>
      <c r="H31" s="106"/>
      <c r="I31" s="106"/>
      <c r="J31" s="106"/>
      <c r="K31" s="127"/>
      <c r="L31" s="127"/>
      <c r="M31" s="129"/>
      <c r="N31" s="224"/>
    </row>
    <row r="32" spans="1:14" s="36" customFormat="1" ht="17.25" customHeight="1">
      <c r="A32" s="120">
        <v>1</v>
      </c>
      <c r="B32" s="807" t="s">
        <v>1671</v>
      </c>
      <c r="C32" s="190">
        <v>2</v>
      </c>
      <c r="D32" s="190">
        <v>3</v>
      </c>
      <c r="E32" s="242">
        <v>170</v>
      </c>
      <c r="F32" s="236">
        <f>C32*D32*E32</f>
        <v>1020</v>
      </c>
      <c r="G32" s="243">
        <f>F32*0.231</f>
        <v>236</v>
      </c>
      <c r="H32" s="106"/>
      <c r="I32" s="106">
        <v>40</v>
      </c>
      <c r="J32" s="106">
        <v>150</v>
      </c>
      <c r="K32" s="127">
        <f>I32*J32</f>
        <v>6000</v>
      </c>
      <c r="L32" s="124">
        <f>F32+G32+K32</f>
        <v>7256</v>
      </c>
      <c r="M32" s="129" t="s">
        <v>1363</v>
      </c>
      <c r="N32" s="224"/>
    </row>
    <row r="33" spans="1:14" s="36" customFormat="1" ht="27.75" customHeight="1">
      <c r="A33" s="120">
        <v>2</v>
      </c>
      <c r="B33" s="808" t="s">
        <v>1672</v>
      </c>
      <c r="C33" s="190">
        <v>2</v>
      </c>
      <c r="D33" s="190">
        <v>3</v>
      </c>
      <c r="E33" s="242">
        <v>170</v>
      </c>
      <c r="F33" s="236">
        <f>C33*D33*E33</f>
        <v>1020</v>
      </c>
      <c r="G33" s="243">
        <f>F33*0.231</f>
        <v>236</v>
      </c>
      <c r="H33" s="106"/>
      <c r="I33" s="106">
        <v>6</v>
      </c>
      <c r="J33" s="106">
        <v>150</v>
      </c>
      <c r="K33" s="127">
        <f>I33*J33</f>
        <v>900</v>
      </c>
      <c r="L33" s="124">
        <f>F33+G33+K33</f>
        <v>2156</v>
      </c>
      <c r="M33" s="129" t="s">
        <v>1363</v>
      </c>
      <c r="N33" s="224"/>
    </row>
    <row r="34" spans="1:14" s="36" customFormat="1" ht="24.75" customHeight="1">
      <c r="A34" s="120">
        <v>3</v>
      </c>
      <c r="B34" s="236" t="s">
        <v>1673</v>
      </c>
      <c r="C34" s="190">
        <v>2</v>
      </c>
      <c r="D34" s="190">
        <v>2</v>
      </c>
      <c r="E34" s="242">
        <v>170</v>
      </c>
      <c r="F34" s="236">
        <f>C34*D34*E34</f>
        <v>680</v>
      </c>
      <c r="G34" s="243">
        <f>F34*0.231</f>
        <v>157</v>
      </c>
      <c r="H34" s="106"/>
      <c r="I34" s="106">
        <v>4</v>
      </c>
      <c r="J34" s="106">
        <v>150</v>
      </c>
      <c r="K34" s="127">
        <f>I34*J34</f>
        <v>600</v>
      </c>
      <c r="L34" s="124">
        <f>F34+G34+K34</f>
        <v>1437</v>
      </c>
      <c r="M34" s="129" t="s">
        <v>1363</v>
      </c>
      <c r="N34" s="224"/>
    </row>
    <row r="35" spans="1:14" s="36" customFormat="1" ht="24.75" customHeight="1" thickBot="1">
      <c r="A35" s="120">
        <v>4</v>
      </c>
      <c r="B35" s="236" t="s">
        <v>1024</v>
      </c>
      <c r="C35" s="190">
        <v>3</v>
      </c>
      <c r="D35" s="190">
        <v>10</v>
      </c>
      <c r="E35" s="242">
        <v>170</v>
      </c>
      <c r="F35" s="236">
        <f>C35*D35*E35</f>
        <v>5100</v>
      </c>
      <c r="G35" s="243">
        <f>F35*0.231</f>
        <v>1178</v>
      </c>
      <c r="H35" s="106"/>
      <c r="I35" s="106">
        <v>8</v>
      </c>
      <c r="J35" s="106">
        <v>150</v>
      </c>
      <c r="K35" s="127">
        <f>I35*J35</f>
        <v>1200</v>
      </c>
      <c r="L35" s="124">
        <f>F35+G35+K35</f>
        <v>7478</v>
      </c>
      <c r="M35" s="129"/>
      <c r="N35" s="224"/>
    </row>
    <row r="36" spans="1:14" s="36" customFormat="1" ht="12.75" customHeight="1" thickBot="1">
      <c r="A36" s="130"/>
      <c r="B36" s="133" t="s">
        <v>1783</v>
      </c>
      <c r="C36" s="132"/>
      <c r="D36" s="132"/>
      <c r="E36" s="131"/>
      <c r="F36" s="133">
        <f>F32+F33+F34+F35</f>
        <v>7820</v>
      </c>
      <c r="G36" s="136">
        <f>G32+G33+G34+G35</f>
        <v>1807</v>
      </c>
      <c r="H36" s="132"/>
      <c r="I36" s="132"/>
      <c r="J36" s="132"/>
      <c r="K36" s="133">
        <f>K32+K33+K34+K35</f>
        <v>8700</v>
      </c>
      <c r="L36" s="136">
        <f>SUM(L32:L35)</f>
        <v>18327</v>
      </c>
      <c r="M36" s="134"/>
      <c r="N36" s="224"/>
    </row>
    <row r="37" spans="1:14" s="1139" customFormat="1" ht="12.75" customHeight="1" thickBot="1">
      <c r="A37" s="1140"/>
      <c r="B37" s="1141" t="s">
        <v>1452</v>
      </c>
      <c r="C37" s="1142"/>
      <c r="D37" s="1142"/>
      <c r="E37" s="1143"/>
      <c r="F37" s="1141">
        <f aca="true" t="shared" si="2" ref="F37:L37">F36</f>
        <v>7820</v>
      </c>
      <c r="G37" s="1141">
        <f t="shared" si="2"/>
        <v>1807</v>
      </c>
      <c r="H37" s="1141">
        <f t="shared" si="2"/>
        <v>0</v>
      </c>
      <c r="I37" s="1141">
        <f t="shared" si="2"/>
        <v>0</v>
      </c>
      <c r="J37" s="1141">
        <f t="shared" si="2"/>
        <v>0</v>
      </c>
      <c r="K37" s="1141">
        <f t="shared" si="2"/>
        <v>8700</v>
      </c>
      <c r="L37" s="1160">
        <f t="shared" si="2"/>
        <v>18327</v>
      </c>
      <c r="M37" s="1156"/>
      <c r="N37" s="1137"/>
    </row>
    <row r="38" spans="1:14" s="36" customFormat="1" ht="12.75" customHeight="1">
      <c r="A38" s="120" t="s">
        <v>318</v>
      </c>
      <c r="B38" s="197" t="s">
        <v>139</v>
      </c>
      <c r="C38" s="106"/>
      <c r="D38" s="106"/>
      <c r="E38" s="121"/>
      <c r="F38" s="127"/>
      <c r="G38" s="124"/>
      <c r="H38" s="106"/>
      <c r="I38" s="106"/>
      <c r="J38" s="106"/>
      <c r="K38" s="127"/>
      <c r="L38" s="127"/>
      <c r="M38" s="129"/>
      <c r="N38" s="224"/>
    </row>
    <row r="39" spans="1:14" s="36" customFormat="1" ht="24" customHeight="1" thickBot="1">
      <c r="A39" s="120">
        <v>1</v>
      </c>
      <c r="B39" s="1069" t="s">
        <v>1674</v>
      </c>
      <c r="C39" s="190">
        <v>3</v>
      </c>
      <c r="D39" s="190">
        <v>6</v>
      </c>
      <c r="E39" s="242">
        <v>170</v>
      </c>
      <c r="F39" s="236">
        <f>C39*D39*E39</f>
        <v>3060</v>
      </c>
      <c r="G39" s="243">
        <f>F39*0.231</f>
        <v>707</v>
      </c>
      <c r="H39" s="106"/>
      <c r="I39" s="106">
        <v>10</v>
      </c>
      <c r="J39" s="106">
        <v>150</v>
      </c>
      <c r="K39" s="127">
        <f>I39*J39</f>
        <v>1500</v>
      </c>
      <c r="L39" s="124">
        <f>F39+G39+K39</f>
        <v>5267</v>
      </c>
      <c r="M39" s="129" t="s">
        <v>1363</v>
      </c>
      <c r="N39" s="224"/>
    </row>
    <row r="40" spans="1:14" s="36" customFormat="1" ht="12.75" customHeight="1" thickBot="1">
      <c r="A40" s="130"/>
      <c r="B40" s="133" t="s">
        <v>1783</v>
      </c>
      <c r="C40" s="132"/>
      <c r="D40" s="132"/>
      <c r="E40" s="131"/>
      <c r="F40" s="133">
        <f>F39</f>
        <v>3060</v>
      </c>
      <c r="G40" s="136">
        <f>G39</f>
        <v>707</v>
      </c>
      <c r="H40" s="132"/>
      <c r="I40" s="132"/>
      <c r="J40" s="132"/>
      <c r="K40" s="133">
        <f>SUM(K39:K39)</f>
        <v>1500</v>
      </c>
      <c r="L40" s="136">
        <f>SUM(L39:L39)</f>
        <v>5267</v>
      </c>
      <c r="M40" s="134"/>
      <c r="N40" s="224"/>
    </row>
    <row r="41" spans="1:14" s="36" customFormat="1" ht="12.75" customHeight="1">
      <c r="A41" s="120" t="s">
        <v>318</v>
      </c>
      <c r="B41" s="197" t="s">
        <v>140</v>
      </c>
      <c r="C41" s="106"/>
      <c r="D41" s="106"/>
      <c r="E41" s="121"/>
      <c r="F41" s="127"/>
      <c r="G41" s="124"/>
      <c r="H41" s="106"/>
      <c r="I41" s="106"/>
      <c r="J41" s="106"/>
      <c r="K41" s="127"/>
      <c r="L41" s="127"/>
      <c r="M41" s="129"/>
      <c r="N41" s="224"/>
    </row>
    <row r="42" spans="1:14" s="36" customFormat="1" ht="24.75" customHeight="1">
      <c r="A42" s="120">
        <v>1</v>
      </c>
      <c r="B42" s="401" t="s">
        <v>1675</v>
      </c>
      <c r="C42" s="190">
        <v>1</v>
      </c>
      <c r="D42" s="190">
        <v>6</v>
      </c>
      <c r="E42" s="242">
        <v>170</v>
      </c>
      <c r="F42" s="236">
        <f>C42*D42*E42</f>
        <v>1020</v>
      </c>
      <c r="G42" s="243">
        <f>F42*0.231</f>
        <v>236</v>
      </c>
      <c r="H42" s="106"/>
      <c r="I42" s="106">
        <v>5</v>
      </c>
      <c r="J42" s="106">
        <v>150</v>
      </c>
      <c r="K42" s="127">
        <f>I42*J42</f>
        <v>750</v>
      </c>
      <c r="L42" s="124">
        <f>F42+G42+K42</f>
        <v>2006</v>
      </c>
      <c r="M42" s="129" t="s">
        <v>1363</v>
      </c>
      <c r="N42" s="224"/>
    </row>
    <row r="43" spans="1:14" s="36" customFormat="1" ht="24.75" customHeight="1">
      <c r="A43" s="120">
        <v>2</v>
      </c>
      <c r="B43" s="808" t="s">
        <v>1676</v>
      </c>
      <c r="C43" s="106">
        <v>2</v>
      </c>
      <c r="D43" s="106">
        <v>8</v>
      </c>
      <c r="E43" s="121">
        <v>170</v>
      </c>
      <c r="F43" s="127">
        <f>E43*D43*C43</f>
        <v>2720</v>
      </c>
      <c r="G43" s="124">
        <f>F43*0.231</f>
        <v>628</v>
      </c>
      <c r="H43" s="106"/>
      <c r="I43" s="106">
        <v>10</v>
      </c>
      <c r="J43" s="106">
        <v>150</v>
      </c>
      <c r="K43" s="127">
        <f>I43*J43</f>
        <v>1500</v>
      </c>
      <c r="L43" s="124">
        <f>SUM(K43:K43,F43:G43)</f>
        <v>4848</v>
      </c>
      <c r="M43" s="129" t="s">
        <v>1363</v>
      </c>
      <c r="N43" s="224"/>
    </row>
    <row r="44" spans="1:14" s="36" customFormat="1" ht="21" customHeight="1" thickBot="1">
      <c r="A44" s="120">
        <v>3</v>
      </c>
      <c r="B44" s="236" t="s">
        <v>1677</v>
      </c>
      <c r="C44" s="106">
        <v>3</v>
      </c>
      <c r="D44" s="106">
        <v>5</v>
      </c>
      <c r="E44" s="121">
        <v>170</v>
      </c>
      <c r="F44" s="127">
        <f>C44*D44*E44</f>
        <v>2550</v>
      </c>
      <c r="G44" s="124">
        <f>F44*0.228</f>
        <v>581</v>
      </c>
      <c r="H44" s="106"/>
      <c r="I44" s="106">
        <v>10</v>
      </c>
      <c r="J44" s="106">
        <v>150</v>
      </c>
      <c r="K44" s="127">
        <f>I44*J44</f>
        <v>1500</v>
      </c>
      <c r="L44" s="124">
        <f>F44+G44+K44</f>
        <v>4631</v>
      </c>
      <c r="M44" s="129" t="s">
        <v>1363</v>
      </c>
      <c r="N44" s="224"/>
    </row>
    <row r="45" spans="1:14" s="36" customFormat="1" ht="12.75" customHeight="1" thickBot="1">
      <c r="A45" s="130"/>
      <c r="B45" s="133" t="s">
        <v>1783</v>
      </c>
      <c r="C45" s="132"/>
      <c r="D45" s="132"/>
      <c r="E45" s="131"/>
      <c r="F45" s="136">
        <f>F42+F43+F44</f>
        <v>6290</v>
      </c>
      <c r="G45" s="136">
        <f>G42+G43+G44</f>
        <v>1445</v>
      </c>
      <c r="H45" s="132"/>
      <c r="I45" s="132"/>
      <c r="J45" s="132"/>
      <c r="K45" s="133">
        <f>K42+K43+K44</f>
        <v>3750</v>
      </c>
      <c r="L45" s="136">
        <f>SUM(L42:L44)</f>
        <v>11485</v>
      </c>
      <c r="M45" s="134"/>
      <c r="N45" s="720">
        <f>SUM(F45:K45)</f>
        <v>11485</v>
      </c>
    </row>
    <row r="46" spans="1:14" s="36" customFormat="1" ht="12.75" customHeight="1">
      <c r="A46" s="120" t="s">
        <v>318</v>
      </c>
      <c r="B46" s="197" t="s">
        <v>141</v>
      </c>
      <c r="C46" s="106"/>
      <c r="D46" s="106"/>
      <c r="E46" s="121"/>
      <c r="F46" s="127"/>
      <c r="G46" s="124"/>
      <c r="H46" s="106"/>
      <c r="I46" s="106"/>
      <c r="J46" s="106"/>
      <c r="K46" s="127"/>
      <c r="L46" s="127"/>
      <c r="M46" s="129"/>
      <c r="N46" s="224"/>
    </row>
    <row r="47" spans="1:14" s="36" customFormat="1" ht="26.25" customHeight="1" thickBot="1">
      <c r="A47" s="120">
        <v>1</v>
      </c>
      <c r="B47" s="808" t="s">
        <v>889</v>
      </c>
      <c r="C47" s="106">
        <v>2</v>
      </c>
      <c r="D47" s="106">
        <v>8</v>
      </c>
      <c r="E47" s="121">
        <v>170</v>
      </c>
      <c r="F47" s="127">
        <f>E47*D47*C47</f>
        <v>2720</v>
      </c>
      <c r="G47" s="124">
        <f>F47*0.231</f>
        <v>628</v>
      </c>
      <c r="H47" s="106"/>
      <c r="I47" s="106">
        <v>10</v>
      </c>
      <c r="J47" s="106">
        <v>150</v>
      </c>
      <c r="K47" s="127">
        <f>I47*J47</f>
        <v>1500</v>
      </c>
      <c r="L47" s="124">
        <f>SUM(K47:K47,F47:G47)</f>
        <v>4848</v>
      </c>
      <c r="M47" s="129" t="s">
        <v>1363</v>
      </c>
      <c r="N47" s="224"/>
    </row>
    <row r="48" spans="1:14" s="36" customFormat="1" ht="12.75" customHeight="1" thickBot="1">
      <c r="A48" s="130"/>
      <c r="B48" s="133" t="s">
        <v>1783</v>
      </c>
      <c r="C48" s="132"/>
      <c r="D48" s="132"/>
      <c r="E48" s="131"/>
      <c r="F48" s="136">
        <f>SUM(F47:F47)</f>
        <v>2720</v>
      </c>
      <c r="G48" s="136">
        <f>SUM(G47:G47)</f>
        <v>628</v>
      </c>
      <c r="H48" s="132"/>
      <c r="I48" s="132"/>
      <c r="J48" s="132"/>
      <c r="K48" s="133">
        <f>SUM(K47:K47)</f>
        <v>1500</v>
      </c>
      <c r="L48" s="136">
        <f>SUM(L47:L47)</f>
        <v>4848</v>
      </c>
      <c r="M48" s="134"/>
      <c r="N48" s="720">
        <f>SUM(F48:K48)</f>
        <v>4848</v>
      </c>
    </row>
    <row r="49" spans="1:14" s="1157" customFormat="1" ht="15" customHeight="1" thickBot="1">
      <c r="A49" s="1161"/>
      <c r="B49" s="1137" t="s">
        <v>1455</v>
      </c>
      <c r="C49" s="1137"/>
      <c r="D49" s="1137"/>
      <c r="E49" s="1137"/>
      <c r="F49" s="1155">
        <f aca="true" t="shared" si="3" ref="F49:L49">F40+F45+F48</f>
        <v>12070</v>
      </c>
      <c r="G49" s="1155">
        <f>G40+G45+G48</f>
        <v>2780</v>
      </c>
      <c r="H49" s="1155">
        <f t="shared" si="3"/>
        <v>0</v>
      </c>
      <c r="I49" s="1155">
        <f t="shared" si="3"/>
        <v>0</v>
      </c>
      <c r="J49" s="1155">
        <f t="shared" si="3"/>
        <v>0</v>
      </c>
      <c r="K49" s="1155">
        <f t="shared" si="3"/>
        <v>6750</v>
      </c>
      <c r="L49" s="1155">
        <f t="shared" si="3"/>
        <v>21600</v>
      </c>
      <c r="M49" s="1162"/>
      <c r="N49" s="1162"/>
    </row>
    <row r="50" spans="1:14" s="29" customFormat="1" ht="13.5" customHeight="1" thickBot="1">
      <c r="A50" s="721"/>
      <c r="B50" s="286" t="s">
        <v>485</v>
      </c>
      <c r="C50" s="205"/>
      <c r="D50" s="205"/>
      <c r="E50" s="205"/>
      <c r="F50" s="255">
        <f>SUM(F9,F25,F29,F14,F19,F36,F40,F45,F48)</f>
        <v>35700</v>
      </c>
      <c r="G50" s="255">
        <f>SUM(G9,G25,G29,G14,G19,G36,G40,G45,G48)</f>
        <v>8072</v>
      </c>
      <c r="H50" s="205" t="s">
        <v>318</v>
      </c>
      <c r="I50" s="205" t="s">
        <v>318</v>
      </c>
      <c r="J50" s="205" t="s">
        <v>318</v>
      </c>
      <c r="K50" s="255">
        <f>SUM(K9,K25,K29,K14,K19,K36,K40,K45,K48)</f>
        <v>40500</v>
      </c>
      <c r="L50" s="255">
        <f>SUM(L9,L25,L29,L14,L19,L36,L40,L45,L48)</f>
        <v>84727</v>
      </c>
      <c r="M50" s="206"/>
      <c r="N50" s="811">
        <f>SUM(F50:K50)</f>
        <v>84272</v>
      </c>
    </row>
    <row r="51" spans="1:14" ht="7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ht="12.75">
      <c r="A52" s="39" t="s">
        <v>1025</v>
      </c>
    </row>
    <row r="53" spans="1:2" ht="12.75">
      <c r="A53" s="39" t="s">
        <v>318</v>
      </c>
      <c r="B53" s="39" t="s">
        <v>318</v>
      </c>
    </row>
  </sheetData>
  <mergeCells count="6">
    <mergeCell ref="C3:G3"/>
    <mergeCell ref="H3:K3"/>
    <mergeCell ref="A4:A5"/>
    <mergeCell ref="B4:B5"/>
    <mergeCell ref="C4:G4"/>
    <mergeCell ref="H4:K4"/>
  </mergeCells>
  <printOptions/>
  <pageMargins left="0.3937007874015748" right="0.1968503937007874" top="0.984251968503937" bottom="0.1968503937007874" header="0.11811023622047245" footer="0"/>
  <pageSetup firstPageNumber="53" useFirstPageNumber="1" horizontalDpi="600" verticalDpi="600" orientation="landscape" paperSize="9" r:id="rId1"/>
  <rowBreaks count="1" manualBreakCount="1">
    <brk id="30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workbookViewId="0" topLeftCell="A10">
      <selection activeCell="B17" sqref="B17"/>
    </sheetView>
  </sheetViews>
  <sheetFormatPr defaultColWidth="9.00390625" defaultRowHeight="12.75"/>
  <cols>
    <col min="1" max="1" width="3.875" style="1790" customWidth="1"/>
    <col min="2" max="2" width="29.00390625" style="1763" customWidth="1"/>
    <col min="3" max="3" width="10.00390625" style="1293" customWidth="1"/>
    <col min="4" max="4" width="9.375" style="1293" customWidth="1"/>
    <col min="5" max="5" width="13.25390625" style="1293" customWidth="1"/>
    <col min="6" max="6" width="62.875" style="1763" customWidth="1"/>
    <col min="7" max="16384" width="9.125" style="1293" customWidth="1"/>
  </cols>
  <sheetData>
    <row r="1" spans="1:6" s="1796" customFormat="1" ht="15.75">
      <c r="A1" s="2062" t="s">
        <v>411</v>
      </c>
      <c r="B1" s="2062"/>
      <c r="C1" s="2062"/>
      <c r="D1" s="2062"/>
      <c r="E1" s="2062"/>
      <c r="F1" s="2062"/>
    </row>
    <row r="2" spans="1:6" s="1796" customFormat="1" ht="15.75">
      <c r="A2" s="2062" t="s">
        <v>410</v>
      </c>
      <c r="B2" s="2062"/>
      <c r="C2" s="2062"/>
      <c r="D2" s="2062"/>
      <c r="E2" s="2062"/>
      <c r="F2" s="2062"/>
    </row>
    <row r="3" ht="15.75" thickBot="1">
      <c r="F3" s="1795" t="s">
        <v>388</v>
      </c>
    </row>
    <row r="4" spans="1:6" ht="60.75" thickBot="1">
      <c r="A4" s="1764" t="s">
        <v>1418</v>
      </c>
      <c r="B4" s="1765" t="s">
        <v>730</v>
      </c>
      <c r="C4" s="1766">
        <v>2006</v>
      </c>
      <c r="D4" s="1767">
        <v>2007</v>
      </c>
      <c r="E4" s="1768" t="s">
        <v>395</v>
      </c>
      <c r="F4" s="1769" t="s">
        <v>389</v>
      </c>
    </row>
    <row r="5" spans="1:6" ht="15.75" thickBot="1">
      <c r="A5" s="1772">
        <v>1</v>
      </c>
      <c r="B5" s="1770">
        <v>2</v>
      </c>
      <c r="C5" s="1771">
        <v>4</v>
      </c>
      <c r="D5" s="1772">
        <v>5</v>
      </c>
      <c r="E5" s="1773">
        <v>6</v>
      </c>
      <c r="F5" s="1774">
        <v>7</v>
      </c>
    </row>
    <row r="6" spans="1:6" ht="105">
      <c r="A6" s="1791" t="s">
        <v>1332</v>
      </c>
      <c r="B6" s="1775" t="s">
        <v>386</v>
      </c>
      <c r="C6" s="1776">
        <v>551</v>
      </c>
      <c r="D6" s="1777">
        <v>645.6</v>
      </c>
      <c r="E6" s="1776">
        <f aca="true" t="shared" si="0" ref="E6:E14">D6-C6</f>
        <v>94.6</v>
      </c>
      <c r="F6" s="1778" t="s">
        <v>397</v>
      </c>
    </row>
    <row r="7" spans="1:6" ht="105">
      <c r="A7" s="1792" t="s">
        <v>1333</v>
      </c>
      <c r="B7" s="1778" t="s">
        <v>1838</v>
      </c>
      <c r="C7" s="1776">
        <v>608.2</v>
      </c>
      <c r="D7" s="1776">
        <v>1411.7</v>
      </c>
      <c r="E7" s="1776">
        <f t="shared" si="0"/>
        <v>803.5</v>
      </c>
      <c r="F7" s="1778" t="s">
        <v>399</v>
      </c>
    </row>
    <row r="8" spans="1:6" ht="60">
      <c r="A8" s="1792" t="s">
        <v>1334</v>
      </c>
      <c r="B8" s="1778" t="s">
        <v>1904</v>
      </c>
      <c r="C8" s="1777">
        <v>1607.3</v>
      </c>
      <c r="D8" s="1776">
        <v>1027.1</v>
      </c>
      <c r="E8" s="1776">
        <f t="shared" si="0"/>
        <v>-580.2</v>
      </c>
      <c r="F8" s="1778" t="s">
        <v>398</v>
      </c>
    </row>
    <row r="9" spans="1:6" ht="135">
      <c r="A9" s="1792" t="s">
        <v>1335</v>
      </c>
      <c r="B9" s="1778" t="s">
        <v>390</v>
      </c>
      <c r="C9" s="1777">
        <v>2407.4</v>
      </c>
      <c r="D9" s="1777">
        <v>2188.3</v>
      </c>
      <c r="E9" s="1776">
        <f t="shared" si="0"/>
        <v>-219.1</v>
      </c>
      <c r="F9" s="1778" t="s">
        <v>401</v>
      </c>
    </row>
    <row r="10" spans="1:6" ht="45">
      <c r="A10" s="1792" t="s">
        <v>1336</v>
      </c>
      <c r="B10" s="1778" t="s">
        <v>391</v>
      </c>
      <c r="C10" s="1776">
        <v>25.3</v>
      </c>
      <c r="D10" s="1776">
        <v>0</v>
      </c>
      <c r="E10" s="1776">
        <f t="shared" si="0"/>
        <v>-25.3</v>
      </c>
      <c r="F10" s="1776" t="s">
        <v>400</v>
      </c>
    </row>
    <row r="11" spans="1:6" ht="60">
      <c r="A11" s="1792" t="s">
        <v>1337</v>
      </c>
      <c r="B11" s="1778" t="s">
        <v>1602</v>
      </c>
      <c r="C11" s="1776">
        <v>74</v>
      </c>
      <c r="D11" s="1776">
        <v>69.4</v>
      </c>
      <c r="E11" s="1776">
        <f t="shared" si="0"/>
        <v>-4.59999999999999</v>
      </c>
      <c r="F11" s="1778" t="s">
        <v>402</v>
      </c>
    </row>
    <row r="12" spans="1:6" ht="75">
      <c r="A12" s="1792" t="s">
        <v>1338</v>
      </c>
      <c r="B12" s="1778" t="s">
        <v>392</v>
      </c>
      <c r="C12" s="1779">
        <v>1589</v>
      </c>
      <c r="D12" s="1776">
        <v>1692.4</v>
      </c>
      <c r="E12" s="1776">
        <f t="shared" si="0"/>
        <v>103.4</v>
      </c>
      <c r="F12" s="1776" t="s">
        <v>403</v>
      </c>
    </row>
    <row r="13" spans="1:6" ht="90">
      <c r="A13" s="1792" t="s">
        <v>1339</v>
      </c>
      <c r="B13" s="1778" t="s">
        <v>350</v>
      </c>
      <c r="C13" s="1777">
        <v>462.8</v>
      </c>
      <c r="D13" s="1776">
        <v>495.6</v>
      </c>
      <c r="E13" s="1776">
        <f t="shared" si="0"/>
        <v>32.8</v>
      </c>
      <c r="F13" s="1778" t="s">
        <v>404</v>
      </c>
    </row>
    <row r="14" spans="1:6" ht="75.75" thickBot="1">
      <c r="A14" s="1793" t="s">
        <v>393</v>
      </c>
      <c r="B14" s="1780" t="s">
        <v>394</v>
      </c>
      <c r="C14" s="1781">
        <v>981.8</v>
      </c>
      <c r="D14" s="1782">
        <v>1470.1</v>
      </c>
      <c r="E14" s="1782">
        <f t="shared" si="0"/>
        <v>488.3</v>
      </c>
      <c r="F14" s="1783" t="s">
        <v>405</v>
      </c>
    </row>
    <row r="15" spans="1:6" ht="30.75" thickBot="1">
      <c r="A15" s="1794"/>
      <c r="B15" s="1784" t="s">
        <v>265</v>
      </c>
      <c r="C15" s="1785">
        <f>SUM(C6:C14)</f>
        <v>8306.8</v>
      </c>
      <c r="D15" s="1786">
        <f>SUM(D6:D14)</f>
        <v>9000</v>
      </c>
      <c r="E15" s="1787">
        <f>SUM(E6:E14)</f>
        <v>693.4</v>
      </c>
      <c r="F15" s="1788" t="s">
        <v>396</v>
      </c>
    </row>
    <row r="17" spans="2:6" ht="15">
      <c r="B17" s="1789" t="s">
        <v>406</v>
      </c>
      <c r="F17" s="1789" t="s">
        <v>408</v>
      </c>
    </row>
    <row r="18" ht="47.25" customHeight="1"/>
    <row r="19" spans="2:6" ht="21" customHeight="1">
      <c r="B19" s="1763" t="s">
        <v>407</v>
      </c>
      <c r="F19" s="1789" t="s">
        <v>409</v>
      </c>
    </row>
  </sheetData>
  <mergeCells count="2">
    <mergeCell ref="A1:F1"/>
    <mergeCell ref="A2:F2"/>
  </mergeCells>
  <printOptions/>
  <pageMargins left="0.7874015748031497" right="0.1968503937007874" top="0.5905511811023623" bottom="0.5905511811023623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/>
  <dimension ref="A1:R29"/>
  <sheetViews>
    <sheetView view="pageBreakPreview" zoomScale="75" zoomScaleSheetLayoutView="75" workbookViewId="0" topLeftCell="C1">
      <selection activeCell="R7" sqref="R7:R26"/>
    </sheetView>
  </sheetViews>
  <sheetFormatPr defaultColWidth="9.00390625" defaultRowHeight="12.75"/>
  <cols>
    <col min="1" max="1" width="3.625" style="139" customWidth="1"/>
    <col min="2" max="2" width="28.25390625" style="139" customWidth="1"/>
    <col min="3" max="3" width="8.125" style="139" customWidth="1"/>
    <col min="4" max="4" width="7.00390625" style="139" customWidth="1"/>
    <col min="5" max="5" width="8.00390625" style="139" customWidth="1"/>
    <col min="6" max="6" width="7.75390625" style="139" customWidth="1"/>
    <col min="7" max="7" width="6.25390625" style="139" customWidth="1"/>
    <col min="8" max="8" width="7.125" style="139" customWidth="1"/>
    <col min="9" max="9" width="6.75390625" style="139" customWidth="1"/>
    <col min="10" max="10" width="7.125" style="139" customWidth="1"/>
    <col min="11" max="11" width="6.75390625" style="139" customWidth="1"/>
    <col min="12" max="12" width="7.25390625" style="139" customWidth="1"/>
    <col min="13" max="13" width="7.375" style="139" customWidth="1"/>
    <col min="14" max="14" width="8.25390625" style="139" customWidth="1"/>
    <col min="15" max="15" width="10.125" style="139" customWidth="1"/>
    <col min="16" max="16" width="9.875" style="139" customWidth="1"/>
    <col min="17" max="17" width="9.375" style="139" bestFit="1" customWidth="1"/>
    <col min="18" max="18" width="9.25390625" style="139" bestFit="1" customWidth="1"/>
    <col min="19" max="16384" width="9.125" style="139" customWidth="1"/>
  </cols>
  <sheetData>
    <row r="1" s="283" customFormat="1" ht="15">
      <c r="B1" s="33" t="s">
        <v>1123</v>
      </c>
    </row>
    <row r="2" spans="2:16" s="283" customFormat="1" ht="15.75" thickBot="1">
      <c r="B2" s="33"/>
      <c r="P2" s="106" t="s">
        <v>1243</v>
      </c>
    </row>
    <row r="3" spans="1:16" ht="12.75" customHeight="1" thickBot="1">
      <c r="A3" s="723"/>
      <c r="B3" s="723"/>
      <c r="C3" s="1844" t="s">
        <v>1081</v>
      </c>
      <c r="D3" s="1845"/>
      <c r="E3" s="1846"/>
      <c r="F3" s="1844" t="s">
        <v>1035</v>
      </c>
      <c r="G3" s="1845"/>
      <c r="H3" s="1845"/>
      <c r="I3" s="1845"/>
      <c r="J3" s="1845"/>
      <c r="K3" s="1845"/>
      <c r="L3" s="1845"/>
      <c r="M3" s="1845"/>
      <c r="N3" s="1846"/>
      <c r="O3" s="725"/>
      <c r="P3" s="723"/>
    </row>
    <row r="4" spans="1:16" s="273" customFormat="1" ht="13.5" customHeight="1" thickBot="1">
      <c r="A4" s="1847" t="s">
        <v>316</v>
      </c>
      <c r="B4" s="1852" t="s">
        <v>317</v>
      </c>
      <c r="C4" s="1839" t="s">
        <v>1082</v>
      </c>
      <c r="D4" s="1840"/>
      <c r="E4" s="1840"/>
      <c r="F4" s="1825"/>
      <c r="G4" s="1840" t="s">
        <v>783</v>
      </c>
      <c r="H4" s="1840"/>
      <c r="I4" s="1825"/>
      <c r="J4" s="1839" t="s">
        <v>784</v>
      </c>
      <c r="K4" s="1840"/>
      <c r="L4" s="1840"/>
      <c r="M4" s="1840"/>
      <c r="N4" s="1825"/>
      <c r="O4" s="726" t="s">
        <v>265</v>
      </c>
      <c r="P4" s="714" t="s">
        <v>1415</v>
      </c>
    </row>
    <row r="5" spans="1:16" s="273" customFormat="1" ht="13.5" customHeight="1" thickBot="1">
      <c r="A5" s="1838"/>
      <c r="B5" s="1853"/>
      <c r="C5" s="272" t="s">
        <v>776</v>
      </c>
      <c r="D5" s="179" t="s">
        <v>777</v>
      </c>
      <c r="E5" s="272" t="s">
        <v>785</v>
      </c>
      <c r="F5" s="179" t="s">
        <v>778</v>
      </c>
      <c r="G5" s="271" t="s">
        <v>776</v>
      </c>
      <c r="H5" s="179" t="s">
        <v>777</v>
      </c>
      <c r="I5" s="272" t="s">
        <v>785</v>
      </c>
      <c r="J5" s="179" t="s">
        <v>778</v>
      </c>
      <c r="K5" s="208" t="s">
        <v>776</v>
      </c>
      <c r="L5" s="181" t="s">
        <v>777</v>
      </c>
      <c r="M5" s="180" t="s">
        <v>785</v>
      </c>
      <c r="N5" s="181" t="s">
        <v>778</v>
      </c>
      <c r="O5" s="208" t="s">
        <v>1364</v>
      </c>
      <c r="P5" s="181"/>
    </row>
    <row r="6" spans="1:16" s="106" customFormat="1" ht="12">
      <c r="A6" s="120"/>
      <c r="B6" s="284" t="s">
        <v>1784</v>
      </c>
      <c r="F6" s="127"/>
      <c r="H6" s="220"/>
      <c r="I6" s="121"/>
      <c r="J6" s="121"/>
      <c r="M6" s="121"/>
      <c r="N6" s="121"/>
      <c r="O6" s="145"/>
      <c r="P6" s="129"/>
    </row>
    <row r="7" spans="1:18" s="106" customFormat="1" ht="12">
      <c r="A7" s="140">
        <v>1</v>
      </c>
      <c r="B7" s="105" t="s">
        <v>432</v>
      </c>
      <c r="C7" s="97" t="s">
        <v>1491</v>
      </c>
      <c r="D7" s="97">
        <v>5</v>
      </c>
      <c r="E7" s="97">
        <v>400</v>
      </c>
      <c r="F7" s="143">
        <f>D7*E7*6</f>
        <v>12000</v>
      </c>
      <c r="G7" s="97"/>
      <c r="H7" s="105"/>
      <c r="I7" s="105"/>
      <c r="J7" s="105"/>
      <c r="K7" s="97">
        <v>21</v>
      </c>
      <c r="L7" s="97">
        <v>5</v>
      </c>
      <c r="M7" s="105">
        <v>80</v>
      </c>
      <c r="N7" s="105">
        <f>K7*L7*M7</f>
        <v>8400</v>
      </c>
      <c r="O7" s="143">
        <f>F7+J7+N7</f>
        <v>20400</v>
      </c>
      <c r="P7" s="129" t="s">
        <v>1363</v>
      </c>
      <c r="R7" s="811"/>
    </row>
    <row r="8" spans="1:18" s="106" customFormat="1" ht="12">
      <c r="A8" s="140">
        <v>2</v>
      </c>
      <c r="B8" s="105" t="s">
        <v>433</v>
      </c>
      <c r="C8" s="97" t="s">
        <v>1491</v>
      </c>
      <c r="D8" s="97">
        <v>5</v>
      </c>
      <c r="E8" s="97">
        <v>400</v>
      </c>
      <c r="F8" s="98">
        <f>D8*E8*6</f>
        <v>12000</v>
      </c>
      <c r="G8" s="97"/>
      <c r="H8" s="105"/>
      <c r="I8" s="105"/>
      <c r="J8" s="105"/>
      <c r="K8" s="97">
        <v>25</v>
      </c>
      <c r="L8" s="97">
        <v>5</v>
      </c>
      <c r="M8" s="105">
        <v>80</v>
      </c>
      <c r="N8" s="105">
        <f>K8*L8*M8</f>
        <v>10000</v>
      </c>
      <c r="O8" s="98">
        <f>F8+J8+N8</f>
        <v>22000</v>
      </c>
      <c r="P8" s="129" t="s">
        <v>131</v>
      </c>
      <c r="R8" s="811"/>
    </row>
    <row r="9" spans="1:18" s="106" customFormat="1" ht="12">
      <c r="A9" s="120">
        <v>3</v>
      </c>
      <c r="B9" s="121" t="s">
        <v>1734</v>
      </c>
      <c r="C9" s="106" t="s">
        <v>1375</v>
      </c>
      <c r="D9" s="106">
        <v>3</v>
      </c>
      <c r="E9" s="121">
        <v>450</v>
      </c>
      <c r="F9" s="98">
        <f>D9*E9*4</f>
        <v>5400</v>
      </c>
      <c r="G9" s="106">
        <v>12</v>
      </c>
      <c r="H9" s="121">
        <v>3</v>
      </c>
      <c r="I9" s="121">
        <v>100</v>
      </c>
      <c r="J9" s="121">
        <f>G9*H9*I9</f>
        <v>3600</v>
      </c>
      <c r="K9" s="106">
        <v>12</v>
      </c>
      <c r="L9" s="106">
        <v>3</v>
      </c>
      <c r="M9" s="121">
        <v>100</v>
      </c>
      <c r="N9" s="121">
        <f>K9*L9*M9</f>
        <v>3600</v>
      </c>
      <c r="O9" s="127">
        <f>F9+J9+N9</f>
        <v>12600</v>
      </c>
      <c r="P9" s="129"/>
      <c r="R9" s="811"/>
    </row>
    <row r="10" spans="1:18" s="106" customFormat="1" ht="12.75" thickBot="1">
      <c r="A10" s="120">
        <v>4</v>
      </c>
      <c r="B10" s="121" t="s">
        <v>1220</v>
      </c>
      <c r="C10" s="106" t="s">
        <v>1375</v>
      </c>
      <c r="D10" s="106">
        <v>4</v>
      </c>
      <c r="E10" s="121">
        <v>450</v>
      </c>
      <c r="F10" s="98">
        <f>D10*E10*4</f>
        <v>7200</v>
      </c>
      <c r="G10" s="106">
        <v>12</v>
      </c>
      <c r="H10" s="121">
        <v>3</v>
      </c>
      <c r="I10" s="121">
        <v>100</v>
      </c>
      <c r="J10" s="121">
        <f>G10*H10*I10</f>
        <v>3600</v>
      </c>
      <c r="K10" s="106">
        <v>12</v>
      </c>
      <c r="L10" s="106">
        <v>3</v>
      </c>
      <c r="M10" s="121">
        <v>100</v>
      </c>
      <c r="N10" s="121">
        <f>K10*L10*M10</f>
        <v>3600</v>
      </c>
      <c r="O10" s="127">
        <f>F10+J10+N10</f>
        <v>14400</v>
      </c>
      <c r="P10" s="129"/>
      <c r="R10" s="811"/>
    </row>
    <row r="11" spans="1:18" s="224" customFormat="1" ht="12.75" thickBot="1">
      <c r="A11" s="130"/>
      <c r="B11" s="131" t="s">
        <v>1783</v>
      </c>
      <c r="C11" s="132"/>
      <c r="D11" s="132"/>
      <c r="E11" s="131"/>
      <c r="F11" s="138">
        <f>SUM(F7:F10)</f>
        <v>36600</v>
      </c>
      <c r="G11" s="132"/>
      <c r="H11" s="131"/>
      <c r="I11" s="132"/>
      <c r="J11" s="133">
        <f>SUM(J9:J10)</f>
        <v>7200</v>
      </c>
      <c r="K11" s="132"/>
      <c r="L11" s="132"/>
      <c r="M11" s="131"/>
      <c r="N11" s="131">
        <f>SUM(N7:N10)</f>
        <v>25600</v>
      </c>
      <c r="O11" s="133">
        <f>SUM(O6:O10)</f>
        <v>69400</v>
      </c>
      <c r="P11" s="134"/>
      <c r="R11" s="811"/>
    </row>
    <row r="12" spans="1:18" s="106" customFormat="1" ht="12">
      <c r="A12" s="120"/>
      <c r="B12" s="135" t="s">
        <v>1785</v>
      </c>
      <c r="E12" s="121"/>
      <c r="F12" s="121"/>
      <c r="H12" s="121"/>
      <c r="I12" s="121"/>
      <c r="J12" s="121"/>
      <c r="M12" s="121"/>
      <c r="N12" s="121"/>
      <c r="O12" s="127"/>
      <c r="P12" s="129"/>
      <c r="R12" s="811"/>
    </row>
    <row r="13" spans="1:18" s="190" customFormat="1" ht="22.5" customHeight="1" thickBot="1">
      <c r="A13" s="248">
        <v>1</v>
      </c>
      <c r="B13" s="242" t="s">
        <v>132</v>
      </c>
      <c r="C13" s="190" t="s">
        <v>1304</v>
      </c>
      <c r="D13" s="190">
        <v>6</v>
      </c>
      <c r="E13" s="190">
        <v>400</v>
      </c>
      <c r="F13" s="236">
        <f>D13*E13*4</f>
        <v>9600</v>
      </c>
      <c r="H13" s="242"/>
      <c r="I13" s="242"/>
      <c r="J13" s="242"/>
      <c r="K13" s="190">
        <v>12</v>
      </c>
      <c r="L13" s="190">
        <v>5</v>
      </c>
      <c r="M13" s="242">
        <v>80</v>
      </c>
      <c r="N13" s="242">
        <f>K13*L13*M13</f>
        <v>4800</v>
      </c>
      <c r="O13" s="236">
        <f>F13+J13+N13</f>
        <v>14400</v>
      </c>
      <c r="P13" s="191" t="s">
        <v>131</v>
      </c>
      <c r="R13" s="811"/>
    </row>
    <row r="14" spans="1:18" s="224" customFormat="1" ht="12.75" thickBot="1">
      <c r="A14" s="130"/>
      <c r="B14" s="131" t="s">
        <v>1783</v>
      </c>
      <c r="C14" s="132"/>
      <c r="D14" s="132"/>
      <c r="E14" s="131"/>
      <c r="F14" s="133">
        <f>SUM(F13:F13)</f>
        <v>9600</v>
      </c>
      <c r="G14" s="132"/>
      <c r="H14" s="131"/>
      <c r="I14" s="133"/>
      <c r="J14" s="131"/>
      <c r="K14" s="132"/>
      <c r="L14" s="132"/>
      <c r="M14" s="131"/>
      <c r="N14" s="133">
        <f>SUM(N13:N13)</f>
        <v>4800</v>
      </c>
      <c r="O14" s="133">
        <f>SUM(O13:O13)</f>
        <v>14400</v>
      </c>
      <c r="P14" s="134"/>
      <c r="R14" s="811"/>
    </row>
    <row r="15" spans="1:18" s="1137" customFormat="1" ht="12.75" thickBot="1">
      <c r="A15" s="1140"/>
      <c r="B15" s="1143" t="s">
        <v>1456</v>
      </c>
      <c r="C15" s="1142"/>
      <c r="D15" s="1142"/>
      <c r="E15" s="1143"/>
      <c r="F15" s="1143">
        <f>F11+F14</f>
        <v>46200</v>
      </c>
      <c r="G15" s="1143"/>
      <c r="H15" s="1143"/>
      <c r="I15" s="1143"/>
      <c r="J15" s="1143">
        <f>J11+J14</f>
        <v>7200</v>
      </c>
      <c r="K15" s="1143"/>
      <c r="L15" s="1143"/>
      <c r="M15" s="1143"/>
      <c r="N15" s="1143">
        <f>N11+N14</f>
        <v>30400</v>
      </c>
      <c r="O15" s="1143">
        <f>O11+O14</f>
        <v>83800</v>
      </c>
      <c r="P15" s="1156"/>
      <c r="R15" s="811"/>
    </row>
    <row r="16" spans="1:18" s="106" customFormat="1" ht="12" customHeight="1">
      <c r="A16" s="120"/>
      <c r="B16" s="135" t="s">
        <v>1149</v>
      </c>
      <c r="E16" s="121"/>
      <c r="F16" s="121"/>
      <c r="H16" s="121"/>
      <c r="I16" s="121"/>
      <c r="J16" s="121"/>
      <c r="M16" s="121"/>
      <c r="N16" s="121"/>
      <c r="O16" s="127"/>
      <c r="P16" s="129"/>
      <c r="R16" s="811"/>
    </row>
    <row r="17" spans="1:18" s="106" customFormat="1" ht="12.75" customHeight="1">
      <c r="A17" s="120">
        <v>1</v>
      </c>
      <c r="B17" s="121" t="s">
        <v>495</v>
      </c>
      <c r="C17" s="106" t="s">
        <v>1015</v>
      </c>
      <c r="D17" s="106">
        <v>5</v>
      </c>
      <c r="E17" s="1163">
        <v>400</v>
      </c>
      <c r="F17" s="122">
        <f>D17*E17*10</f>
        <v>20000</v>
      </c>
      <c r="H17" s="121"/>
      <c r="I17" s="121"/>
      <c r="J17" s="121"/>
      <c r="M17" s="121"/>
      <c r="N17" s="121"/>
      <c r="O17" s="124">
        <f>F17+N18+N20+N21+F20</f>
        <v>29780</v>
      </c>
      <c r="P17" s="129" t="s">
        <v>1363</v>
      </c>
      <c r="R17" s="811"/>
    </row>
    <row r="18" spans="1:18" s="106" customFormat="1" ht="12.75" customHeight="1">
      <c r="A18" s="120"/>
      <c r="B18" s="121" t="s">
        <v>1633</v>
      </c>
      <c r="E18" s="121"/>
      <c r="F18" s="122"/>
      <c r="H18" s="121"/>
      <c r="I18" s="121"/>
      <c r="J18" s="121"/>
      <c r="K18" s="106">
        <v>18</v>
      </c>
      <c r="L18" s="106">
        <v>4</v>
      </c>
      <c r="M18" s="121">
        <v>80</v>
      </c>
      <c r="N18" s="121">
        <f>K18*L18*M18</f>
        <v>5760</v>
      </c>
      <c r="O18" s="127"/>
      <c r="P18" s="129" t="s">
        <v>131</v>
      </c>
      <c r="R18" s="811"/>
    </row>
    <row r="19" spans="1:18" s="106" customFormat="1" ht="12.75" customHeight="1">
      <c r="A19" s="120"/>
      <c r="B19" s="121" t="s">
        <v>371</v>
      </c>
      <c r="E19" s="121"/>
      <c r="F19" s="122"/>
      <c r="H19" s="121"/>
      <c r="I19" s="121"/>
      <c r="J19" s="121"/>
      <c r="N19" s="127"/>
      <c r="O19" s="127"/>
      <c r="P19" s="129"/>
      <c r="R19" s="811"/>
    </row>
    <row r="20" spans="1:18" s="106" customFormat="1" ht="12.75" customHeight="1">
      <c r="A20" s="120"/>
      <c r="B20" s="121" t="s">
        <v>372</v>
      </c>
      <c r="C20" s="106" t="s">
        <v>1000</v>
      </c>
      <c r="D20" s="106">
        <v>3</v>
      </c>
      <c r="E20" s="121">
        <v>60</v>
      </c>
      <c r="F20" s="122">
        <f>E20*D20</f>
        <v>180</v>
      </c>
      <c r="H20" s="121"/>
      <c r="I20" s="121"/>
      <c r="J20" s="121"/>
      <c r="K20" s="106">
        <v>8</v>
      </c>
      <c r="L20" s="106">
        <v>2</v>
      </c>
      <c r="M20" s="121">
        <v>80</v>
      </c>
      <c r="N20" s="121">
        <f>K20*L20*M20</f>
        <v>1280</v>
      </c>
      <c r="O20" s="127"/>
      <c r="P20" s="129"/>
      <c r="Q20" s="1423" t="s">
        <v>1001</v>
      </c>
      <c r="R20" s="811"/>
    </row>
    <row r="21" spans="1:18" s="106" customFormat="1" ht="12.75" customHeight="1" thickBot="1">
      <c r="A21" s="140"/>
      <c r="B21" s="105" t="s">
        <v>1763</v>
      </c>
      <c r="C21" s="97"/>
      <c r="D21" s="97"/>
      <c r="E21" s="105"/>
      <c r="F21" s="122"/>
      <c r="G21" s="97"/>
      <c r="H21" s="105"/>
      <c r="I21" s="105"/>
      <c r="J21" s="105"/>
      <c r="K21" s="106">
        <v>8</v>
      </c>
      <c r="L21" s="106">
        <v>4</v>
      </c>
      <c r="M21" s="121">
        <v>80</v>
      </c>
      <c r="N21" s="121">
        <f>K21*L21*M21</f>
        <v>2560</v>
      </c>
      <c r="O21" s="98"/>
      <c r="P21" s="217"/>
      <c r="R21" s="811"/>
    </row>
    <row r="22" spans="1:18" s="224" customFormat="1" ht="12.75" thickBot="1">
      <c r="A22" s="130"/>
      <c r="B22" s="131" t="s">
        <v>1783</v>
      </c>
      <c r="C22" s="132"/>
      <c r="D22" s="132"/>
      <c r="E22" s="131"/>
      <c r="F22" s="136">
        <f>SUM(F17:F21)</f>
        <v>20180</v>
      </c>
      <c r="G22" s="132"/>
      <c r="H22" s="131"/>
      <c r="I22" s="131"/>
      <c r="J22" s="133">
        <f>SUM(J17:J21)</f>
        <v>0</v>
      </c>
      <c r="K22" s="132"/>
      <c r="L22" s="132"/>
      <c r="M22" s="131"/>
      <c r="N22" s="133">
        <f>SUM(N18:N21)</f>
        <v>9600</v>
      </c>
      <c r="O22" s="136">
        <f>SUM(O17:O21)</f>
        <v>29780</v>
      </c>
      <c r="P22" s="134"/>
      <c r="R22" s="811"/>
    </row>
    <row r="23" spans="1:18" ht="12">
      <c r="A23" s="120"/>
      <c r="B23" s="135" t="s">
        <v>1150</v>
      </c>
      <c r="C23" s="106"/>
      <c r="D23" s="106"/>
      <c r="E23" s="121"/>
      <c r="F23" s="121"/>
      <c r="G23" s="106"/>
      <c r="H23" s="121"/>
      <c r="I23" s="121"/>
      <c r="J23" s="121"/>
      <c r="K23" s="106"/>
      <c r="L23" s="106"/>
      <c r="M23" s="121"/>
      <c r="N23" s="121"/>
      <c r="O23" s="127"/>
      <c r="P23" s="129"/>
      <c r="R23" s="811"/>
    </row>
    <row r="24" spans="1:18" s="189" customFormat="1" ht="24.75" thickBot="1">
      <c r="A24" s="248">
        <v>1</v>
      </c>
      <c r="B24" s="242" t="s">
        <v>1221</v>
      </c>
      <c r="C24" s="106" t="s">
        <v>1222</v>
      </c>
      <c r="D24" s="106">
        <v>2</v>
      </c>
      <c r="E24" s="1163">
        <v>400</v>
      </c>
      <c r="F24" s="122">
        <f>D24*E24*48</f>
        <v>38400</v>
      </c>
      <c r="G24" s="170">
        <v>62</v>
      </c>
      <c r="H24" s="184">
        <v>3</v>
      </c>
      <c r="I24" s="184">
        <v>150</v>
      </c>
      <c r="J24" s="184">
        <f>I24*G24*H24</f>
        <v>27900</v>
      </c>
      <c r="K24" s="170">
        <v>62</v>
      </c>
      <c r="L24" s="170">
        <v>4</v>
      </c>
      <c r="M24" s="184">
        <v>160</v>
      </c>
      <c r="N24" s="184">
        <f>K24*L24*M24</f>
        <v>39680</v>
      </c>
      <c r="O24" s="196">
        <f>F24+J24+N24+F23</f>
        <v>105980</v>
      </c>
      <c r="P24" s="1164" t="s">
        <v>1492</v>
      </c>
      <c r="R24" s="811"/>
    </row>
    <row r="25" spans="1:18" s="215" customFormat="1" ht="12.75" thickBot="1">
      <c r="A25" s="130"/>
      <c r="B25" s="131" t="s">
        <v>1783</v>
      </c>
      <c r="C25" s="132"/>
      <c r="D25" s="132"/>
      <c r="E25" s="131"/>
      <c r="F25" s="133">
        <f>SUM(F23:F24)</f>
        <v>38400</v>
      </c>
      <c r="G25" s="132"/>
      <c r="H25" s="131"/>
      <c r="I25" s="131"/>
      <c r="J25" s="133">
        <f>SUM(J24:J24)</f>
        <v>27900</v>
      </c>
      <c r="K25" s="132"/>
      <c r="L25" s="132"/>
      <c r="M25" s="131"/>
      <c r="N25" s="133">
        <f>SUM(N24:N24)</f>
        <v>39680</v>
      </c>
      <c r="O25" s="136">
        <f>SUM(O24:O24)</f>
        <v>105980</v>
      </c>
      <c r="P25" s="134"/>
      <c r="R25" s="811"/>
    </row>
    <row r="26" spans="2:18" s="1137" customFormat="1" ht="15" customHeight="1" thickBot="1">
      <c r="B26" s="1137" t="s">
        <v>1457</v>
      </c>
      <c r="F26" s="1155">
        <f>F22+F25</f>
        <v>58580</v>
      </c>
      <c r="J26" s="1137">
        <f>J22+J25</f>
        <v>27900</v>
      </c>
      <c r="N26" s="1137">
        <f>N22+N25</f>
        <v>49280</v>
      </c>
      <c r="O26" s="1155">
        <f>O22+O25</f>
        <v>135760</v>
      </c>
      <c r="R26" s="811"/>
    </row>
    <row r="27" spans="1:18" s="722" customFormat="1" ht="16.5" customHeight="1" thickBot="1">
      <c r="A27" s="721"/>
      <c r="B27" s="286" t="s">
        <v>487</v>
      </c>
      <c r="C27" s="205"/>
      <c r="D27" s="205"/>
      <c r="E27" s="286"/>
      <c r="F27" s="735">
        <f>SUM(F11,F14,F22,F25)</f>
        <v>104780</v>
      </c>
      <c r="G27" s="205"/>
      <c r="H27" s="205"/>
      <c r="I27" s="286"/>
      <c r="J27" s="206">
        <f>SUM(J11,J14,J22,J25)</f>
        <v>35100</v>
      </c>
      <c r="K27" s="205"/>
      <c r="L27" s="205"/>
      <c r="M27" s="286"/>
      <c r="N27" s="206">
        <f>SUM(N11,N14,N22,N25)</f>
        <v>79680</v>
      </c>
      <c r="O27" s="735">
        <f>SUM(O11,O14,O22,O25)</f>
        <v>219560</v>
      </c>
      <c r="P27" s="206"/>
      <c r="R27" s="811">
        <f>SUM(F27:N27)</f>
        <v>219560</v>
      </c>
    </row>
    <row r="28" spans="1:15" s="283" customFormat="1" ht="12.75" customHeight="1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</row>
    <row r="29" ht="12">
      <c r="A29" s="139" t="s">
        <v>1025</v>
      </c>
    </row>
  </sheetData>
  <mergeCells count="7">
    <mergeCell ref="F3:N3"/>
    <mergeCell ref="C3:E3"/>
    <mergeCell ref="A4:A5"/>
    <mergeCell ref="J4:N4"/>
    <mergeCell ref="B4:B5"/>
    <mergeCell ref="G4:I4"/>
    <mergeCell ref="C4:F4"/>
  </mergeCells>
  <printOptions/>
  <pageMargins left="0.5905511811023623" right="0.3937007874015748" top="0.984251968503937" bottom="0.3937007874015748" header="0.11811023622047245" footer="0"/>
  <pageSetup firstPageNumber="54" useFirstPageNumber="1" horizontalDpi="120" verticalDpi="12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4"/>
  <sheetViews>
    <sheetView showZeros="0" zoomScale="75" zoomScaleNormal="75" zoomScaleSheetLayoutView="75" workbookViewId="0" topLeftCell="A1">
      <selection activeCell="E25" sqref="E2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6.75390625" style="0" customWidth="1"/>
    <col min="4" max="4" width="7.375" style="0" customWidth="1"/>
    <col min="5" max="5" width="8.25390625" style="0" customWidth="1"/>
    <col min="6" max="6" width="8.375" style="0" customWidth="1"/>
    <col min="7" max="7" width="6.25390625" style="0" customWidth="1"/>
    <col min="8" max="8" width="5.625" style="0" customWidth="1"/>
    <col min="9" max="9" width="6.875" style="0" customWidth="1"/>
    <col min="10" max="10" width="7.125" style="0" customWidth="1"/>
    <col min="11" max="11" width="8.75390625" style="0" customWidth="1"/>
    <col min="13" max="13" width="10.25390625" style="0" customWidth="1"/>
    <col min="14" max="14" width="12.75390625" style="0" customWidth="1"/>
    <col min="15" max="15" width="11.125" style="0" customWidth="1"/>
    <col min="17" max="17" width="10.125" style="0" customWidth="1"/>
  </cols>
  <sheetData>
    <row r="1" s="7" customFormat="1" ht="15">
      <c r="B1" s="15" t="s">
        <v>45</v>
      </c>
    </row>
    <row r="2" spans="2:14" s="7" customFormat="1" ht="15.75" thickBot="1">
      <c r="B2" s="15"/>
      <c r="N2" s="101" t="s">
        <v>1244</v>
      </c>
    </row>
    <row r="3" spans="1:14" s="31" customFormat="1" ht="12.75" customHeight="1">
      <c r="A3" s="293"/>
      <c r="B3" s="293"/>
      <c r="C3" s="1882" t="s">
        <v>1034</v>
      </c>
      <c r="D3" s="1883"/>
      <c r="E3" s="1883"/>
      <c r="F3" s="1883"/>
      <c r="G3" s="1884"/>
      <c r="H3" s="1882" t="s">
        <v>1035</v>
      </c>
      <c r="I3" s="1883"/>
      <c r="J3" s="1884"/>
      <c r="K3" s="727" t="s">
        <v>1036</v>
      </c>
      <c r="L3" s="727" t="s">
        <v>1037</v>
      </c>
      <c r="M3" s="293"/>
      <c r="N3" s="293"/>
    </row>
    <row r="4" spans="1:14" s="161" customFormat="1" ht="13.5" customHeight="1" thickBot="1">
      <c r="A4" s="1865" t="s">
        <v>316</v>
      </c>
      <c r="B4" s="1826" t="s">
        <v>317</v>
      </c>
      <c r="C4" s="1854" t="s">
        <v>901</v>
      </c>
      <c r="D4" s="1855"/>
      <c r="E4" s="1855"/>
      <c r="F4" s="1855"/>
      <c r="G4" s="1856"/>
      <c r="H4" s="1854" t="s">
        <v>902</v>
      </c>
      <c r="I4" s="1855"/>
      <c r="J4" s="1856"/>
      <c r="K4" s="296" t="s">
        <v>1400</v>
      </c>
      <c r="L4" s="296" t="s">
        <v>1399</v>
      </c>
      <c r="M4" s="728" t="s">
        <v>265</v>
      </c>
      <c r="N4" s="296" t="s">
        <v>1415</v>
      </c>
    </row>
    <row r="5" spans="1:14" s="161" customFormat="1" ht="15" customHeight="1" thickBot="1">
      <c r="A5" s="1866"/>
      <c r="B5" s="1827"/>
      <c r="C5" s="291" t="s">
        <v>776</v>
      </c>
      <c r="D5" s="158" t="s">
        <v>777</v>
      </c>
      <c r="E5" s="159" t="s">
        <v>69</v>
      </c>
      <c r="F5" s="116" t="s">
        <v>778</v>
      </c>
      <c r="G5" s="116" t="s">
        <v>467</v>
      </c>
      <c r="H5" s="158" t="s">
        <v>779</v>
      </c>
      <c r="I5" s="115" t="s">
        <v>785</v>
      </c>
      <c r="J5" s="115" t="s">
        <v>778</v>
      </c>
      <c r="K5" s="156"/>
      <c r="L5" s="156"/>
      <c r="M5" s="116" t="s">
        <v>1365</v>
      </c>
      <c r="N5" s="156"/>
    </row>
    <row r="6" spans="1:14" s="31" customFormat="1" ht="13.5" customHeight="1">
      <c r="A6" s="117"/>
      <c r="B6" s="316" t="s">
        <v>367</v>
      </c>
      <c r="C6" s="28"/>
      <c r="D6" s="28"/>
      <c r="E6" s="66"/>
      <c r="F6" s="59"/>
      <c r="G6" s="59"/>
      <c r="H6" s="28"/>
      <c r="I6" s="66"/>
      <c r="J6" s="66"/>
      <c r="K6" s="66"/>
      <c r="L6" s="59"/>
      <c r="M6" s="59"/>
      <c r="N6" s="118"/>
    </row>
    <row r="7" spans="1:14" s="189" customFormat="1" ht="24.75" customHeight="1" thickBot="1">
      <c r="A7" s="248">
        <v>1</v>
      </c>
      <c r="B7" s="236" t="s">
        <v>1811</v>
      </c>
      <c r="C7" s="190"/>
      <c r="D7" s="190"/>
      <c r="E7" s="242"/>
      <c r="F7" s="236"/>
      <c r="G7" s="243">
        <f>ROUND(F7*0.316,0)</f>
        <v>0</v>
      </c>
      <c r="H7" s="190">
        <v>6</v>
      </c>
      <c r="I7" s="242">
        <v>150</v>
      </c>
      <c r="J7" s="242">
        <f>H7*I7</f>
        <v>900</v>
      </c>
      <c r="K7" s="242"/>
      <c r="L7" s="236"/>
      <c r="M7" s="243">
        <f>J7+L7</f>
        <v>900</v>
      </c>
      <c r="N7" s="192" t="s">
        <v>1868</v>
      </c>
    </row>
    <row r="8" spans="1:14" s="139" customFormat="1" ht="15.75" customHeight="1" thickBot="1">
      <c r="A8" s="213"/>
      <c r="B8" s="133" t="s">
        <v>1429</v>
      </c>
      <c r="C8" s="317"/>
      <c r="D8" s="317"/>
      <c r="E8" s="214"/>
      <c r="F8" s="133">
        <f>SUM(F7)</f>
        <v>0</v>
      </c>
      <c r="G8" s="136">
        <f>SUM(G7)</f>
        <v>0</v>
      </c>
      <c r="H8" s="193" t="s">
        <v>318</v>
      </c>
      <c r="I8" s="138" t="s">
        <v>318</v>
      </c>
      <c r="J8" s="138">
        <f>SUM(J7)</f>
        <v>900</v>
      </c>
      <c r="K8" s="138"/>
      <c r="L8" s="136">
        <f>SUM(L7)</f>
        <v>0</v>
      </c>
      <c r="M8" s="136">
        <f>SUM(M7)</f>
        <v>900</v>
      </c>
      <c r="N8" s="318"/>
    </row>
    <row r="9" spans="1:14" s="139" customFormat="1" ht="12">
      <c r="A9" s="120"/>
      <c r="B9" s="197" t="s">
        <v>1784</v>
      </c>
      <c r="C9" s="106"/>
      <c r="D9" s="106"/>
      <c r="E9" s="121"/>
      <c r="F9" s="127"/>
      <c r="G9" s="124"/>
      <c r="H9" s="106"/>
      <c r="I9" s="121"/>
      <c r="J9" s="121"/>
      <c r="K9" s="121"/>
      <c r="L9" s="127"/>
      <c r="M9" s="127"/>
      <c r="N9" s="129"/>
    </row>
    <row r="10" spans="1:15" s="139" customFormat="1" ht="15.75" customHeight="1">
      <c r="A10" s="120">
        <v>1</v>
      </c>
      <c r="B10" s="127" t="s">
        <v>626</v>
      </c>
      <c r="C10" s="106">
        <v>9</v>
      </c>
      <c r="D10" s="106">
        <v>3</v>
      </c>
      <c r="E10" s="121">
        <v>120</v>
      </c>
      <c r="F10" s="127">
        <f>C10*D10*E10</f>
        <v>3240</v>
      </c>
      <c r="G10" s="124">
        <f>F10*0.231</f>
        <v>748</v>
      </c>
      <c r="H10" s="106">
        <v>32</v>
      </c>
      <c r="I10" s="121">
        <v>150</v>
      </c>
      <c r="J10" s="127">
        <f>H10*I10</f>
        <v>4800</v>
      </c>
      <c r="K10" s="127"/>
      <c r="L10" s="127">
        <v>4720</v>
      </c>
      <c r="M10" s="124">
        <f>F10+J10+L10+G10</f>
        <v>13508</v>
      </c>
      <c r="N10" s="285" t="s">
        <v>1406</v>
      </c>
      <c r="O10" s="1165" t="s">
        <v>1813</v>
      </c>
    </row>
    <row r="11" spans="1:14" s="139" customFormat="1" ht="12.75" customHeight="1">
      <c r="A11" s="200">
        <v>2</v>
      </c>
      <c r="B11" s="203" t="s">
        <v>1812</v>
      </c>
      <c r="C11" s="202">
        <v>10</v>
      </c>
      <c r="D11" s="202">
        <v>1</v>
      </c>
      <c r="E11" s="201">
        <v>120</v>
      </c>
      <c r="F11" s="1304">
        <f>C11*D11*E11</f>
        <v>1200</v>
      </c>
      <c r="G11" s="212">
        <f>F11*0.231</f>
        <v>277</v>
      </c>
      <c r="H11" s="202">
        <v>15</v>
      </c>
      <c r="I11" s="201">
        <v>150</v>
      </c>
      <c r="J11" s="201">
        <f>H11*I11</f>
        <v>2250</v>
      </c>
      <c r="K11" s="203"/>
      <c r="L11" s="202"/>
      <c r="M11" s="212">
        <f>SUM(F11:G13,J11:J13)</f>
        <v>6317</v>
      </c>
      <c r="N11" s="1664" t="s">
        <v>1362</v>
      </c>
    </row>
    <row r="12" spans="1:15" s="743" customFormat="1" ht="12" customHeight="1">
      <c r="A12" s="1665"/>
      <c r="B12" s="948"/>
      <c r="C12" s="1114"/>
      <c r="D12" s="1114"/>
      <c r="E12" s="1115"/>
      <c r="F12" s="948"/>
      <c r="G12" s="1122"/>
      <c r="H12" s="126">
        <v>12</v>
      </c>
      <c r="I12" s="121">
        <v>70</v>
      </c>
      <c r="J12" s="121">
        <f>H12*I12</f>
        <v>840</v>
      </c>
      <c r="K12" s="948"/>
      <c r="L12" s="1114"/>
      <c r="M12" s="948"/>
      <c r="N12" s="125" t="s">
        <v>1869</v>
      </c>
      <c r="O12" s="1122"/>
    </row>
    <row r="13" spans="1:14" s="743" customFormat="1" ht="12.75" customHeight="1">
      <c r="A13" s="1666"/>
      <c r="B13" s="1325"/>
      <c r="C13" s="1326"/>
      <c r="D13" s="1326"/>
      <c r="E13" s="1327"/>
      <c r="F13" s="1325"/>
      <c r="G13" s="1328"/>
      <c r="H13" s="199">
        <v>7</v>
      </c>
      <c r="I13" s="105">
        <v>250</v>
      </c>
      <c r="J13" s="105">
        <f>H13*I13</f>
        <v>1750</v>
      </c>
      <c r="K13" s="1325"/>
      <c r="L13" s="1326"/>
      <c r="M13" s="1325"/>
      <c r="N13" s="1667"/>
    </row>
    <row r="14" spans="1:18" s="215" customFormat="1" ht="12.75" customHeight="1" thickBot="1">
      <c r="A14" s="1321"/>
      <c r="B14" s="1322" t="s">
        <v>1783</v>
      </c>
      <c r="C14" s="821"/>
      <c r="D14" s="821"/>
      <c r="E14" s="820"/>
      <c r="F14" s="1322">
        <f>SUM(F10:F13)</f>
        <v>4440</v>
      </c>
      <c r="G14" s="1323">
        <f>SUM(G10:G13)</f>
        <v>1025</v>
      </c>
      <c r="H14" s="821"/>
      <c r="I14" s="820"/>
      <c r="J14" s="820">
        <f>SUM(J10:J13)</f>
        <v>9640</v>
      </c>
      <c r="K14" s="820"/>
      <c r="L14" s="1322">
        <f>SUM(L10:L13)</f>
        <v>4720</v>
      </c>
      <c r="M14" s="1323">
        <f>SUM(M10:M13)</f>
        <v>19825</v>
      </c>
      <c r="N14" s="1324"/>
      <c r="O14" s="106"/>
      <c r="P14" s="139"/>
      <c r="Q14" s="139" t="s">
        <v>318</v>
      </c>
      <c r="R14" s="221"/>
    </row>
    <row r="15" spans="1:15" s="139" customFormat="1" ht="12">
      <c r="A15" s="120"/>
      <c r="B15" s="197" t="s">
        <v>1149</v>
      </c>
      <c r="C15" s="106"/>
      <c r="D15" s="106"/>
      <c r="E15" s="121"/>
      <c r="F15" s="127"/>
      <c r="G15" s="124"/>
      <c r="H15" s="106"/>
      <c r="I15" s="121"/>
      <c r="J15" s="121"/>
      <c r="K15" s="121"/>
      <c r="L15" s="127"/>
      <c r="M15" s="127"/>
      <c r="N15" s="285"/>
      <c r="O15" s="106"/>
    </row>
    <row r="16" spans="1:15" s="139" customFormat="1" ht="12">
      <c r="A16" s="120">
        <v>1</v>
      </c>
      <c r="B16" s="127" t="s">
        <v>878</v>
      </c>
      <c r="C16" s="106">
        <v>17</v>
      </c>
      <c r="D16" s="106">
        <v>4</v>
      </c>
      <c r="E16" s="121">
        <v>120</v>
      </c>
      <c r="F16" s="127">
        <f>C16*D16*E16</f>
        <v>8160</v>
      </c>
      <c r="G16" s="124">
        <f>F16*0.231</f>
        <v>1885</v>
      </c>
      <c r="H16" s="106">
        <v>15</v>
      </c>
      <c r="I16" s="121">
        <v>150</v>
      </c>
      <c r="J16" s="121">
        <f>H16*I16</f>
        <v>2250</v>
      </c>
      <c r="K16" s="121"/>
      <c r="L16" s="127">
        <v>0</v>
      </c>
      <c r="M16" s="124">
        <f>SUM(F16:G18,J16:J18)</f>
        <v>15145</v>
      </c>
      <c r="N16" s="125" t="s">
        <v>443</v>
      </c>
      <c r="O16" s="106"/>
    </row>
    <row r="17" spans="1:15" s="139" customFormat="1" ht="12">
      <c r="A17" s="120"/>
      <c r="B17" s="127"/>
      <c r="C17" s="106"/>
      <c r="D17" s="106"/>
      <c r="E17" s="121"/>
      <c r="F17" s="127"/>
      <c r="G17" s="124"/>
      <c r="H17" s="106">
        <v>12</v>
      </c>
      <c r="I17" s="121">
        <v>150</v>
      </c>
      <c r="J17" s="121">
        <f>H17*I17</f>
        <v>1800</v>
      </c>
      <c r="K17" s="121"/>
      <c r="L17" s="127"/>
      <c r="M17" s="124"/>
      <c r="N17" s="125"/>
      <c r="O17" s="106"/>
    </row>
    <row r="18" spans="1:15" s="139" customFormat="1" ht="12">
      <c r="A18" s="140"/>
      <c r="B18" s="98"/>
      <c r="C18" s="97"/>
      <c r="D18" s="97"/>
      <c r="E18" s="105"/>
      <c r="F18" s="98"/>
      <c r="G18" s="143"/>
      <c r="H18" s="199">
        <v>15</v>
      </c>
      <c r="I18" s="105">
        <v>70</v>
      </c>
      <c r="J18" s="98">
        <f>H18*I18</f>
        <v>1050</v>
      </c>
      <c r="K18" s="98"/>
      <c r="L18" s="98"/>
      <c r="M18" s="143"/>
      <c r="N18" s="144"/>
      <c r="O18" s="106"/>
    </row>
    <row r="19" spans="1:15" s="189" customFormat="1" ht="24.75" customHeight="1" thickBot="1">
      <c r="A19" s="248">
        <v>2</v>
      </c>
      <c r="B19" s="236" t="s">
        <v>1381</v>
      </c>
      <c r="C19" s="190">
        <v>18</v>
      </c>
      <c r="D19" s="190">
        <v>3</v>
      </c>
      <c r="E19" s="242">
        <v>120</v>
      </c>
      <c r="F19" s="236">
        <f>C19*D19*E19</f>
        <v>6480</v>
      </c>
      <c r="G19" s="196">
        <f>F19*0.231</f>
        <v>1497</v>
      </c>
      <c r="H19" s="190">
        <v>24</v>
      </c>
      <c r="I19" s="242">
        <v>150</v>
      </c>
      <c r="J19" s="238">
        <f>H19*I19</f>
        <v>3600</v>
      </c>
      <c r="K19" s="236">
        <v>1400</v>
      </c>
      <c r="L19" s="236"/>
      <c r="M19" s="243">
        <f>SUM(F19:G19,J19:K19)</f>
        <v>12977</v>
      </c>
      <c r="N19" s="192" t="s">
        <v>541</v>
      </c>
      <c r="O19" s="189" t="s">
        <v>1814</v>
      </c>
    </row>
    <row r="20" spans="1:18" s="215" customFormat="1" ht="12.75" customHeight="1" thickBot="1">
      <c r="A20" s="204"/>
      <c r="B20" s="204" t="s">
        <v>1783</v>
      </c>
      <c r="C20" s="204"/>
      <c r="D20" s="132"/>
      <c r="E20" s="134"/>
      <c r="F20" s="134">
        <f>SUM(F16:F19)</f>
        <v>14640</v>
      </c>
      <c r="G20" s="137">
        <f>SUM(G16:G19)</f>
        <v>3382</v>
      </c>
      <c r="H20" s="204"/>
      <c r="I20" s="134"/>
      <c r="J20" s="131">
        <f>SUM(J16:J19)</f>
        <v>8700</v>
      </c>
      <c r="K20" s="131">
        <f>SUM(K16:K19)</f>
        <v>1400</v>
      </c>
      <c r="L20" s="132">
        <f>SUM(L16:L19)</f>
        <v>0</v>
      </c>
      <c r="M20" s="137">
        <f>SUM(M16:M19)</f>
        <v>28122</v>
      </c>
      <c r="N20" s="223"/>
      <c r="O20" s="139"/>
      <c r="P20" s="139"/>
      <c r="Q20" s="139"/>
      <c r="R20" s="221"/>
    </row>
    <row r="21" spans="1:14" s="64" customFormat="1" ht="12.75" customHeight="1" thickBot="1">
      <c r="A21" s="319"/>
      <c r="B21" s="319"/>
      <c r="C21" s="319"/>
      <c r="D21" s="319"/>
      <c r="E21" s="319"/>
      <c r="F21" s="319"/>
      <c r="G21" s="320"/>
      <c r="H21" s="319"/>
      <c r="I21" s="319"/>
      <c r="J21" s="319"/>
      <c r="K21" s="319"/>
      <c r="L21" s="319"/>
      <c r="M21" s="319"/>
      <c r="N21" s="319"/>
    </row>
    <row r="22" spans="1:18" s="322" customFormat="1" ht="16.5" customHeight="1" thickBot="1">
      <c r="A22" s="150"/>
      <c r="B22" s="109" t="s">
        <v>485</v>
      </c>
      <c r="C22" s="109"/>
      <c r="D22" s="109"/>
      <c r="E22" s="109"/>
      <c r="F22" s="176">
        <f aca="true" t="shared" si="0" ref="F22:L22">SUM(F8,F14,F20)</f>
        <v>19080</v>
      </c>
      <c r="G22" s="152">
        <f t="shared" si="0"/>
        <v>4407</v>
      </c>
      <c r="H22" s="152"/>
      <c r="I22" s="151"/>
      <c r="J22" s="151">
        <f t="shared" si="0"/>
        <v>19240</v>
      </c>
      <c r="K22" s="151">
        <f>SUM(K8,K14,K20)</f>
        <v>1400</v>
      </c>
      <c r="L22" s="176">
        <f t="shared" si="0"/>
        <v>4720</v>
      </c>
      <c r="M22" s="176">
        <f>SUM(M8,M14,M20)</f>
        <v>48847</v>
      </c>
      <c r="N22" s="151"/>
      <c r="P22" s="323">
        <f>SUM(F22:L22)</f>
        <v>48847</v>
      </c>
      <c r="Q22" s="322" t="s">
        <v>318</v>
      </c>
      <c r="R22" s="323"/>
    </row>
    <row r="23" s="31" customFormat="1" ht="12"/>
    <row r="24" s="31" customFormat="1" ht="12">
      <c r="A24" s="139" t="s">
        <v>67</v>
      </c>
    </row>
    <row r="26" ht="12" customHeight="1"/>
  </sheetData>
  <mergeCells count="6">
    <mergeCell ref="C3:G3"/>
    <mergeCell ref="H3:J3"/>
    <mergeCell ref="A4:A5"/>
    <mergeCell ref="B4:B5"/>
    <mergeCell ref="C4:G4"/>
    <mergeCell ref="H4:J4"/>
  </mergeCells>
  <printOptions/>
  <pageMargins left="0.3937007874015748" right="0.1968503937007874" top="0.984251968503937" bottom="0.3937007874015748" header="0.1968503937007874" footer="0"/>
  <pageSetup firstPageNumber="55" useFirstPageNumber="1" horizontalDpi="120" verticalDpi="120" orientation="landscape" paperSize="9" scale="96" r:id="rId1"/>
  <headerFooter alignWithMargins="0">
    <oddFooter>&amp;R&amp;P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R21"/>
  <sheetViews>
    <sheetView showZeros="0" view="pageBreakPreview" zoomScale="75" zoomScaleNormal="75" zoomScaleSheetLayoutView="75" workbookViewId="0" topLeftCell="A1">
      <selection activeCell="A21" sqref="A21"/>
    </sheetView>
  </sheetViews>
  <sheetFormatPr defaultColWidth="9.00390625" defaultRowHeight="12.75"/>
  <cols>
    <col min="1" max="1" width="3.375" style="0" customWidth="1"/>
    <col min="2" max="2" width="29.125" style="0" customWidth="1"/>
    <col min="3" max="4" width="7.125" style="0" customWidth="1"/>
    <col min="5" max="5" width="6.625" style="0" customWidth="1"/>
    <col min="6" max="6" width="7.00390625" style="0" customWidth="1"/>
    <col min="7" max="7" width="6.25390625" style="0" customWidth="1"/>
    <col min="8" max="8" width="6.75390625" style="0" customWidth="1"/>
    <col min="9" max="9" width="6.625" style="0" customWidth="1"/>
    <col min="10" max="10" width="7.00390625" style="0" customWidth="1"/>
    <col min="11" max="11" width="6.375" style="0" customWidth="1"/>
    <col min="12" max="12" width="7.375" style="0" customWidth="1"/>
    <col min="13" max="13" width="6.875" style="0" customWidth="1"/>
    <col min="14" max="14" width="6.75390625" style="0" customWidth="1"/>
    <col min="15" max="15" width="11.25390625" style="0" customWidth="1"/>
    <col min="16" max="16" width="15.625" style="0" customWidth="1"/>
  </cols>
  <sheetData>
    <row r="1" s="7" customFormat="1" ht="15">
      <c r="B1" s="15" t="s">
        <v>46</v>
      </c>
    </row>
    <row r="2" spans="2:16" s="7" customFormat="1" ht="15.75" thickBot="1">
      <c r="B2" s="15"/>
      <c r="P2" s="112" t="s">
        <v>1245</v>
      </c>
    </row>
    <row r="3" spans="1:16" ht="13.5" thickBot="1">
      <c r="A3" s="729"/>
      <c r="B3" s="729"/>
      <c r="C3" s="1831" t="s">
        <v>1035</v>
      </c>
      <c r="D3" s="1832"/>
      <c r="E3" s="1832"/>
      <c r="F3" s="1832"/>
      <c r="G3" s="1832"/>
      <c r="H3" s="1832"/>
      <c r="I3" s="1832"/>
      <c r="J3" s="1832"/>
      <c r="K3" s="1832"/>
      <c r="L3" s="1832"/>
      <c r="M3" s="1832"/>
      <c r="N3" s="1833"/>
      <c r="O3" s="729"/>
      <c r="P3" s="729"/>
    </row>
    <row r="4" spans="1:16" s="26" customFormat="1" ht="13.5" thickBot="1">
      <c r="A4" s="1865" t="s">
        <v>316</v>
      </c>
      <c r="B4" s="1865" t="s">
        <v>317</v>
      </c>
      <c r="C4" s="1834" t="s">
        <v>782</v>
      </c>
      <c r="D4" s="1835"/>
      <c r="E4" s="1835"/>
      <c r="F4" s="1836"/>
      <c r="G4" s="1837" t="s">
        <v>783</v>
      </c>
      <c r="H4" s="1819"/>
      <c r="I4" s="1819"/>
      <c r="J4" s="1820"/>
      <c r="K4" s="1835" t="s">
        <v>784</v>
      </c>
      <c r="L4" s="1835"/>
      <c r="M4" s="1835"/>
      <c r="N4" s="1835"/>
      <c r="O4" s="728" t="s">
        <v>1038</v>
      </c>
      <c r="P4" s="296" t="s">
        <v>1415</v>
      </c>
    </row>
    <row r="5" spans="1:16" s="32" customFormat="1" ht="12.75" thickBot="1">
      <c r="A5" s="1866"/>
      <c r="B5" s="1828"/>
      <c r="C5" s="291" t="s">
        <v>776</v>
      </c>
      <c r="D5" s="158" t="s">
        <v>777</v>
      </c>
      <c r="E5" s="291" t="s">
        <v>785</v>
      </c>
      <c r="F5" s="158" t="s">
        <v>778</v>
      </c>
      <c r="G5" s="115" t="s">
        <v>776</v>
      </c>
      <c r="H5" s="158" t="s">
        <v>777</v>
      </c>
      <c r="I5" s="291" t="s">
        <v>785</v>
      </c>
      <c r="J5" s="158" t="s">
        <v>778</v>
      </c>
      <c r="K5" s="115" t="s">
        <v>776</v>
      </c>
      <c r="L5" s="158" t="s">
        <v>777</v>
      </c>
      <c r="M5" s="158" t="s">
        <v>785</v>
      </c>
      <c r="N5" s="116" t="s">
        <v>778</v>
      </c>
      <c r="O5" s="156" t="s">
        <v>1365</v>
      </c>
      <c r="P5" s="156"/>
    </row>
    <row r="6" spans="1:16" ht="16.5" customHeight="1">
      <c r="A6" s="117"/>
      <c r="B6" s="119" t="s">
        <v>1785</v>
      </c>
      <c r="C6" s="28"/>
      <c r="D6" s="28"/>
      <c r="E6" s="66"/>
      <c r="F6" s="66"/>
      <c r="G6" s="28"/>
      <c r="H6" s="28"/>
      <c r="I6" s="66"/>
      <c r="J6" s="66"/>
      <c r="K6" s="28"/>
      <c r="L6" s="28"/>
      <c r="M6" s="66"/>
      <c r="N6" s="66"/>
      <c r="O6" s="28"/>
      <c r="P6" s="230"/>
    </row>
    <row r="7" spans="1:16" s="39" customFormat="1" ht="12.75" customHeight="1">
      <c r="A7" s="120">
        <v>1</v>
      </c>
      <c r="B7" s="121" t="s">
        <v>1610</v>
      </c>
      <c r="C7" s="106" t="s">
        <v>1242</v>
      </c>
      <c r="D7" s="106"/>
      <c r="E7" s="106"/>
      <c r="F7" s="127">
        <v>700</v>
      </c>
      <c r="G7" s="106"/>
      <c r="H7" s="106"/>
      <c r="I7" s="106"/>
      <c r="J7" s="127">
        <f>G7*H7*I7</f>
        <v>0</v>
      </c>
      <c r="K7" s="106">
        <v>8</v>
      </c>
      <c r="L7" s="106">
        <v>2</v>
      </c>
      <c r="M7" s="106">
        <v>180</v>
      </c>
      <c r="N7" s="126">
        <f>K7*L7*M7</f>
        <v>2880</v>
      </c>
      <c r="O7" s="126">
        <f>J7+N7+F7:F8</f>
        <v>3580</v>
      </c>
      <c r="P7" s="285" t="s">
        <v>1406</v>
      </c>
    </row>
    <row r="8" spans="1:16" s="39" customFormat="1" ht="13.5" thickBot="1">
      <c r="A8" s="120"/>
      <c r="B8" s="121" t="s">
        <v>486</v>
      </c>
      <c r="C8" s="106" t="s">
        <v>318</v>
      </c>
      <c r="D8" s="106"/>
      <c r="E8" s="121"/>
      <c r="F8" s="121"/>
      <c r="G8" s="106"/>
      <c r="H8" s="106"/>
      <c r="I8" s="121"/>
      <c r="J8" s="121"/>
      <c r="K8" s="106"/>
      <c r="L8" s="106"/>
      <c r="M8" s="121"/>
      <c r="N8" s="127"/>
      <c r="O8" s="106"/>
      <c r="P8" s="285"/>
    </row>
    <row r="9" spans="1:16" s="8" customFormat="1" ht="12.75" customHeight="1" thickBot="1">
      <c r="A9" s="146"/>
      <c r="B9" s="46" t="s">
        <v>1783</v>
      </c>
      <c r="C9" s="47"/>
      <c r="D9" s="47"/>
      <c r="E9" s="46"/>
      <c r="F9" s="46">
        <f>SUM(F7:F8)</f>
        <v>700</v>
      </c>
      <c r="G9" s="47"/>
      <c r="H9" s="47"/>
      <c r="I9" s="46"/>
      <c r="J9" s="46">
        <f>SUM(J7:J8)</f>
        <v>0</v>
      </c>
      <c r="K9" s="47"/>
      <c r="L9" s="47"/>
      <c r="M9" s="46"/>
      <c r="N9" s="46">
        <f>SUM(N7:N8)</f>
        <v>2880</v>
      </c>
      <c r="O9" s="47">
        <f>SUM(O7:O8)</f>
        <v>3580</v>
      </c>
      <c r="P9" s="103"/>
    </row>
    <row r="10" spans="1:16" ht="12.75">
      <c r="A10" s="117"/>
      <c r="B10" s="119" t="s">
        <v>1150</v>
      </c>
      <c r="C10" s="28"/>
      <c r="D10" s="28"/>
      <c r="E10" s="66"/>
      <c r="F10" s="66"/>
      <c r="G10" s="28"/>
      <c r="H10" s="28"/>
      <c r="I10" s="66"/>
      <c r="J10" s="66"/>
      <c r="K10" s="28"/>
      <c r="L10" s="28"/>
      <c r="M10" s="66"/>
      <c r="N10" s="66"/>
      <c r="O10" s="28"/>
      <c r="P10" s="230"/>
    </row>
    <row r="11" spans="1:16" ht="12.75" customHeight="1" thickBot="1">
      <c r="A11" s="117">
        <v>1</v>
      </c>
      <c r="B11" s="66" t="s">
        <v>1759</v>
      </c>
      <c r="C11" s="28">
        <v>8</v>
      </c>
      <c r="D11" s="28">
        <v>2</v>
      </c>
      <c r="E11" s="28">
        <v>1100</v>
      </c>
      <c r="F11" s="59">
        <f>C11*D11*E11</f>
        <v>17600</v>
      </c>
      <c r="G11" s="28">
        <v>8</v>
      </c>
      <c r="H11" s="28">
        <v>4</v>
      </c>
      <c r="I11" s="28">
        <v>350</v>
      </c>
      <c r="J11" s="59">
        <f>G11*H11*I11</f>
        <v>11200</v>
      </c>
      <c r="K11" s="28">
        <v>8</v>
      </c>
      <c r="L11" s="28">
        <v>8</v>
      </c>
      <c r="M11" s="28">
        <v>180</v>
      </c>
      <c r="N11" s="100">
        <f>K11*L11*M11</f>
        <v>11520</v>
      </c>
      <c r="O11" s="100">
        <f>F11+J11+N11</f>
        <v>40320</v>
      </c>
      <c r="P11" s="230" t="s">
        <v>1427</v>
      </c>
    </row>
    <row r="12" spans="1:16" s="8" customFormat="1" ht="12.75" customHeight="1" thickBot="1">
      <c r="A12" s="146"/>
      <c r="B12" s="46" t="s">
        <v>1783</v>
      </c>
      <c r="C12" s="47"/>
      <c r="D12" s="47"/>
      <c r="E12" s="46"/>
      <c r="F12" s="46">
        <f>SUM(F10:F11)</f>
        <v>17600</v>
      </c>
      <c r="G12" s="47"/>
      <c r="H12" s="47"/>
      <c r="I12" s="46"/>
      <c r="J12" s="46">
        <f>SUM(J10:J11)</f>
        <v>11200</v>
      </c>
      <c r="K12" s="47"/>
      <c r="L12" s="47"/>
      <c r="M12" s="46"/>
      <c r="N12" s="46">
        <f>SUM(N10:N11)</f>
        <v>11520</v>
      </c>
      <c r="O12" s="47">
        <f>SUM(O10:O11)</f>
        <v>40320</v>
      </c>
      <c r="P12" s="103"/>
    </row>
    <row r="13" spans="1:16" ht="12.75">
      <c r="A13" s="117"/>
      <c r="B13" s="119" t="s">
        <v>138</v>
      </c>
      <c r="C13" s="28"/>
      <c r="D13" s="28"/>
      <c r="E13" s="66"/>
      <c r="F13" s="66"/>
      <c r="G13" s="28"/>
      <c r="H13" s="28"/>
      <c r="I13" s="66"/>
      <c r="J13" s="66"/>
      <c r="K13" s="28"/>
      <c r="L13" s="28"/>
      <c r="M13" s="66"/>
      <c r="N13" s="66"/>
      <c r="O13" s="28"/>
      <c r="P13" s="230"/>
    </row>
    <row r="14" spans="1:16" s="62" customFormat="1" ht="23.25" customHeight="1">
      <c r="A14" s="408">
        <v>1</v>
      </c>
      <c r="B14" s="374" t="s">
        <v>444</v>
      </c>
      <c r="C14" s="409">
        <v>3</v>
      </c>
      <c r="D14" s="409">
        <v>2</v>
      </c>
      <c r="E14" s="409">
        <v>500</v>
      </c>
      <c r="F14" s="410">
        <f>C14*D14*E14</f>
        <v>3000</v>
      </c>
      <c r="G14" s="409"/>
      <c r="H14" s="409"/>
      <c r="I14" s="409"/>
      <c r="J14" s="410">
        <f>G14*H14*I14</f>
        <v>0</v>
      </c>
      <c r="K14" s="409">
        <v>8</v>
      </c>
      <c r="L14" s="409">
        <v>3</v>
      </c>
      <c r="M14" s="409">
        <v>180</v>
      </c>
      <c r="N14" s="411">
        <f>K14*L14*M14</f>
        <v>4320</v>
      </c>
      <c r="O14" s="411">
        <f>F14+J14+N14</f>
        <v>7320</v>
      </c>
      <c r="P14" s="412" t="s">
        <v>445</v>
      </c>
    </row>
    <row r="15" spans="1:16" ht="12.75" customHeight="1">
      <c r="A15" s="117">
        <v>2</v>
      </c>
      <c r="B15" s="1829" t="s">
        <v>708</v>
      </c>
      <c r="C15" s="28">
        <v>8</v>
      </c>
      <c r="D15" s="28">
        <v>2</v>
      </c>
      <c r="E15" s="28">
        <v>800</v>
      </c>
      <c r="F15" s="59">
        <f>C15*D15*E15</f>
        <v>12800</v>
      </c>
      <c r="G15" s="28">
        <v>0</v>
      </c>
      <c r="H15" s="28">
        <v>0</v>
      </c>
      <c r="I15" s="28">
        <v>0</v>
      </c>
      <c r="J15" s="59">
        <f>G15*H15*I15</f>
        <v>0</v>
      </c>
      <c r="K15" s="28">
        <v>0</v>
      </c>
      <c r="L15" s="28">
        <v>0</v>
      </c>
      <c r="M15" s="28">
        <v>0</v>
      </c>
      <c r="N15" s="59">
        <f>K15*L15*M15</f>
        <v>0</v>
      </c>
      <c r="O15" s="100">
        <f>F15+J15+N15</f>
        <v>12800</v>
      </c>
      <c r="P15" s="230" t="s">
        <v>1427</v>
      </c>
    </row>
    <row r="16" spans="1:16" ht="12.75" customHeight="1" thickBot="1">
      <c r="A16" s="117"/>
      <c r="B16" s="1830"/>
      <c r="C16" s="28"/>
      <c r="D16" s="28"/>
      <c r="E16" s="66"/>
      <c r="F16" s="66"/>
      <c r="G16" s="28"/>
      <c r="H16" s="28"/>
      <c r="I16" s="66"/>
      <c r="J16" s="66"/>
      <c r="K16" s="28"/>
      <c r="L16" s="28"/>
      <c r="M16" s="66"/>
      <c r="N16" s="66"/>
      <c r="O16" s="28"/>
      <c r="P16" s="230"/>
    </row>
    <row r="17" spans="1:16" s="8" customFormat="1" ht="12.75" customHeight="1" thickBot="1">
      <c r="A17" s="146"/>
      <c r="B17" s="46" t="s">
        <v>1783</v>
      </c>
      <c r="C17" s="47"/>
      <c r="D17" s="47"/>
      <c r="E17" s="46"/>
      <c r="F17" s="46">
        <f>SUM(F13:F16)</f>
        <v>15800</v>
      </c>
      <c r="G17" s="47"/>
      <c r="H17" s="47"/>
      <c r="I17" s="46"/>
      <c r="J17" s="46">
        <f>SUM(J13:J16)</f>
        <v>0</v>
      </c>
      <c r="K17" s="47"/>
      <c r="L17" s="47"/>
      <c r="M17" s="46"/>
      <c r="N17" s="46">
        <f>SUM(N13:N16)</f>
        <v>4320</v>
      </c>
      <c r="O17" s="47">
        <f>SUM(O13:O16)</f>
        <v>20120</v>
      </c>
      <c r="P17" s="103"/>
    </row>
    <row r="18" spans="1:16" s="1" customFormat="1" ht="13.5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8" s="11" customFormat="1" ht="14.25" customHeight="1" thickBot="1">
      <c r="A19" s="324"/>
      <c r="B19" s="312" t="s">
        <v>1216</v>
      </c>
      <c r="C19" s="109"/>
      <c r="D19" s="109"/>
      <c r="E19" s="109"/>
      <c r="F19" s="321">
        <f>SUM(F9,F17,F12)</f>
        <v>34100</v>
      </c>
      <c r="G19" s="109"/>
      <c r="H19" s="109"/>
      <c r="I19" s="109"/>
      <c r="J19" s="321">
        <f>SUM(J9,J17,J12)</f>
        <v>11200</v>
      </c>
      <c r="K19" s="109"/>
      <c r="L19" s="109"/>
      <c r="M19" s="321"/>
      <c r="N19" s="109">
        <f>SUM(N9,N17,N12)</f>
        <v>18720</v>
      </c>
      <c r="O19" s="321">
        <f>SUM(O9,O17,O12)</f>
        <v>64020</v>
      </c>
      <c r="P19" s="110"/>
      <c r="R19" s="11">
        <f>SUM(F19:N19)</f>
        <v>64020</v>
      </c>
    </row>
    <row r="20" spans="1:16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2.75">
      <c r="A21" s="139" t="s">
        <v>67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</sheetData>
  <mergeCells count="7">
    <mergeCell ref="A4:A5"/>
    <mergeCell ref="B4:B5"/>
    <mergeCell ref="B15:B16"/>
    <mergeCell ref="C3:N3"/>
    <mergeCell ref="C4:F4"/>
    <mergeCell ref="K4:N4"/>
    <mergeCell ref="G4:J4"/>
  </mergeCells>
  <printOptions/>
  <pageMargins left="0.3937007874015748" right="0.1968503937007874" top="0.984251968503937" bottom="0.3937007874015748" header="0.11811023622047245" footer="0"/>
  <pageSetup firstPageNumber="56" useFirstPageNumber="1" horizontalDpi="120" verticalDpi="12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/>
  <dimension ref="A1:T33"/>
  <sheetViews>
    <sheetView showZeros="0" view="pageBreakPreview" zoomScaleNormal="75" zoomScaleSheetLayoutView="100" workbookViewId="0" topLeftCell="A10">
      <pane xSplit="2" topLeftCell="F1" activePane="topRight" state="frozen"/>
      <selection pane="topLeft" activeCell="A28" sqref="A28"/>
      <selection pane="topRight" activeCell="G26" sqref="G26"/>
    </sheetView>
  </sheetViews>
  <sheetFormatPr defaultColWidth="9.00390625" defaultRowHeight="12.75"/>
  <cols>
    <col min="1" max="1" width="4.75390625" style="39" customWidth="1"/>
    <col min="2" max="2" width="36.75390625" style="39" customWidth="1"/>
    <col min="3" max="3" width="6.625" style="39" customWidth="1"/>
    <col min="4" max="4" width="7.125" style="39" customWidth="1"/>
    <col min="5" max="5" width="8.125" style="39" customWidth="1"/>
    <col min="6" max="7" width="7.375" style="39" customWidth="1"/>
    <col min="8" max="8" width="7.25390625" style="39" customWidth="1"/>
    <col min="9" max="9" width="6.25390625" style="39" customWidth="1"/>
    <col min="10" max="10" width="6.125" style="39" customWidth="1"/>
    <col min="11" max="12" width="8.125" style="39" customWidth="1"/>
    <col min="13" max="13" width="11.00390625" style="39" customWidth="1"/>
    <col min="14" max="14" width="13.625" style="39" customWidth="1"/>
    <col min="15" max="15" width="12.25390625" style="898" customWidth="1"/>
    <col min="16" max="16" width="9.125" style="39" customWidth="1"/>
    <col min="17" max="17" width="9.75390625" style="39" customWidth="1"/>
    <col min="18" max="18" width="16.75390625" style="39" customWidth="1"/>
    <col min="19" max="19" width="9.375" style="39" bestFit="1" customWidth="1"/>
    <col min="20" max="20" width="10.875" style="39" bestFit="1" customWidth="1"/>
    <col min="21" max="16384" width="9.125" style="39" customWidth="1"/>
  </cols>
  <sheetData>
    <row r="1" spans="2:15" s="34" customFormat="1" ht="15">
      <c r="B1" s="33" t="s">
        <v>47</v>
      </c>
      <c r="O1" s="900"/>
    </row>
    <row r="2" spans="2:15" s="34" customFormat="1" ht="15.75" thickBot="1">
      <c r="B2" s="33"/>
      <c r="N2" s="106" t="s">
        <v>1246</v>
      </c>
      <c r="O2" s="900"/>
    </row>
    <row r="3" spans="1:14" ht="12.75">
      <c r="A3" s="723" t="s">
        <v>318</v>
      </c>
      <c r="B3" s="723"/>
      <c r="C3" s="1821" t="s">
        <v>1034</v>
      </c>
      <c r="D3" s="1822"/>
      <c r="E3" s="1822"/>
      <c r="F3" s="1822"/>
      <c r="G3" s="1823"/>
      <c r="H3" s="1824" t="s">
        <v>1035</v>
      </c>
      <c r="I3" s="1804"/>
      <c r="J3" s="1804"/>
      <c r="K3" s="1804"/>
      <c r="L3" s="815" t="s">
        <v>1445</v>
      </c>
      <c r="M3" s="814"/>
      <c r="N3" s="715"/>
    </row>
    <row r="4" spans="1:15" s="185" customFormat="1" ht="13.5" customHeight="1" thickBot="1">
      <c r="A4" s="1852" t="s">
        <v>316</v>
      </c>
      <c r="B4" s="1852" t="s">
        <v>317</v>
      </c>
      <c r="C4" s="1841" t="s">
        <v>901</v>
      </c>
      <c r="D4" s="1842"/>
      <c r="E4" s="1842"/>
      <c r="F4" s="1842"/>
      <c r="G4" s="1843"/>
      <c r="H4" s="1841" t="s">
        <v>902</v>
      </c>
      <c r="I4" s="1842"/>
      <c r="J4" s="1842"/>
      <c r="K4" s="1842"/>
      <c r="L4" s="714" t="s">
        <v>1300</v>
      </c>
      <c r="M4" s="812" t="s">
        <v>265</v>
      </c>
      <c r="N4" s="714" t="s">
        <v>1415</v>
      </c>
      <c r="O4" s="898"/>
    </row>
    <row r="5" spans="1:15" s="185" customFormat="1" ht="13.5" customHeight="1" thickBot="1">
      <c r="A5" s="1853"/>
      <c r="B5" s="1853"/>
      <c r="C5" s="180" t="s">
        <v>776</v>
      </c>
      <c r="D5" s="181" t="s">
        <v>777</v>
      </c>
      <c r="E5" s="180" t="s">
        <v>69</v>
      </c>
      <c r="F5" s="179" t="s">
        <v>778</v>
      </c>
      <c r="G5" s="179" t="s">
        <v>467</v>
      </c>
      <c r="H5" s="272" t="s">
        <v>1910</v>
      </c>
      <c r="I5" s="179" t="s">
        <v>779</v>
      </c>
      <c r="J5" s="272" t="s">
        <v>785</v>
      </c>
      <c r="K5" s="271" t="s">
        <v>778</v>
      </c>
      <c r="L5" s="181"/>
      <c r="M5" s="209" t="s">
        <v>1365</v>
      </c>
      <c r="N5" s="181"/>
      <c r="O5" s="898"/>
    </row>
    <row r="6" spans="1:15" ht="12.75">
      <c r="A6" s="120" t="s">
        <v>318</v>
      </c>
      <c r="B6" s="135" t="s">
        <v>1784</v>
      </c>
      <c r="C6" s="106"/>
      <c r="D6" s="106"/>
      <c r="E6" s="121"/>
      <c r="F6" s="121"/>
      <c r="G6" s="122"/>
      <c r="H6" s="106"/>
      <c r="I6" s="106"/>
      <c r="J6" s="121"/>
      <c r="K6" s="127"/>
      <c r="L6" s="127"/>
      <c r="M6" s="124"/>
      <c r="N6" s="129"/>
      <c r="O6" s="898" t="s">
        <v>318</v>
      </c>
    </row>
    <row r="7" spans="1:15" s="268" customFormat="1" ht="13.5" customHeight="1">
      <c r="A7" s="248">
        <v>1</v>
      </c>
      <c r="B7" s="242" t="s">
        <v>1089</v>
      </c>
      <c r="C7" s="190">
        <v>4</v>
      </c>
      <c r="D7" s="190">
        <v>3</v>
      </c>
      <c r="E7" s="242">
        <v>120</v>
      </c>
      <c r="F7" s="238">
        <f>C7*D7*E7</f>
        <v>1440</v>
      </c>
      <c r="G7" s="328">
        <f>F7*0.226</f>
        <v>325</v>
      </c>
      <c r="H7" s="190"/>
      <c r="I7" s="190">
        <v>15</v>
      </c>
      <c r="J7" s="242">
        <v>150</v>
      </c>
      <c r="K7" s="242">
        <f>I7*J7</f>
        <v>2250</v>
      </c>
      <c r="L7" s="242"/>
      <c r="M7" s="259">
        <f>SUM(K7,F7:G7)</f>
        <v>4015</v>
      </c>
      <c r="N7" s="191"/>
      <c r="O7" s="899"/>
    </row>
    <row r="8" spans="1:14" ht="13.5" thickBot="1">
      <c r="A8" s="140">
        <v>2</v>
      </c>
      <c r="B8" s="105" t="s">
        <v>446</v>
      </c>
      <c r="C8" s="97"/>
      <c r="D8" s="97"/>
      <c r="E8" s="105"/>
      <c r="F8" s="105"/>
      <c r="G8" s="122"/>
      <c r="H8" s="97"/>
      <c r="I8" s="97">
        <v>100</v>
      </c>
      <c r="J8" s="105">
        <v>100</v>
      </c>
      <c r="K8" s="105">
        <f>I8*J8</f>
        <v>10000</v>
      </c>
      <c r="L8" s="105"/>
      <c r="M8" s="141">
        <f>F8+K8+G8</f>
        <v>10000</v>
      </c>
      <c r="N8" s="144" t="s">
        <v>1363</v>
      </c>
    </row>
    <row r="9" spans="1:20" s="732" customFormat="1" ht="12.75" customHeight="1" thickBot="1">
      <c r="A9" s="693"/>
      <c r="B9" s="697" t="s">
        <v>1783</v>
      </c>
      <c r="C9" s="696"/>
      <c r="D9" s="696"/>
      <c r="E9" s="697"/>
      <c r="F9" s="697">
        <f>SUM(F7:F7)</f>
        <v>1440</v>
      </c>
      <c r="G9" s="698">
        <f>SUM(G7:G7)</f>
        <v>325</v>
      </c>
      <c r="H9" s="696" t="s">
        <v>318</v>
      </c>
      <c r="I9" s="696" t="s">
        <v>318</v>
      </c>
      <c r="J9" s="697" t="s">
        <v>318</v>
      </c>
      <c r="K9" s="696">
        <f>SUM(K7:K8)</f>
        <v>12250</v>
      </c>
      <c r="L9" s="696">
        <f>SUM(L7:L7)</f>
        <v>0</v>
      </c>
      <c r="M9" s="730">
        <f>SUM(M7:M8)</f>
        <v>14015</v>
      </c>
      <c r="N9" s="731"/>
      <c r="O9" s="902" t="s">
        <v>318</v>
      </c>
      <c r="P9" s="732" t="s">
        <v>318</v>
      </c>
      <c r="Q9" s="732" t="s">
        <v>318</v>
      </c>
      <c r="T9" s="733" t="e">
        <f>F9+K9+#REF!+#REF!+G9</f>
        <v>#REF!</v>
      </c>
    </row>
    <row r="10" spans="1:14" ht="12.75">
      <c r="A10" s="120" t="s">
        <v>318</v>
      </c>
      <c r="B10" s="135" t="s">
        <v>1785</v>
      </c>
      <c r="C10" s="106"/>
      <c r="D10" s="106"/>
      <c r="E10" s="121"/>
      <c r="F10" s="121"/>
      <c r="G10" s="122"/>
      <c r="H10" s="106"/>
      <c r="I10" s="106"/>
      <c r="J10" s="121"/>
      <c r="K10" s="121"/>
      <c r="L10" s="121"/>
      <c r="M10" s="122"/>
      <c r="N10" s="129"/>
    </row>
    <row r="11" spans="1:14" ht="12.75">
      <c r="A11" s="140">
        <v>1</v>
      </c>
      <c r="B11" s="105" t="s">
        <v>446</v>
      </c>
      <c r="C11" s="97"/>
      <c r="D11" s="97"/>
      <c r="E11" s="105"/>
      <c r="F11" s="105"/>
      <c r="G11" s="122"/>
      <c r="H11" s="97"/>
      <c r="I11" s="97">
        <v>100</v>
      </c>
      <c r="J11" s="105">
        <v>100</v>
      </c>
      <c r="K11" s="105">
        <f>I11*J11</f>
        <v>10000</v>
      </c>
      <c r="L11" s="105"/>
      <c r="M11" s="141">
        <f>F11+K11+G11</f>
        <v>10000</v>
      </c>
      <c r="N11" s="144" t="s">
        <v>1363</v>
      </c>
    </row>
    <row r="12" spans="1:15" s="268" customFormat="1" ht="12.75">
      <c r="A12" s="248">
        <v>2</v>
      </c>
      <c r="B12" s="242" t="s">
        <v>447</v>
      </c>
      <c r="C12" s="190">
        <v>14</v>
      </c>
      <c r="D12" s="190">
        <v>1</v>
      </c>
      <c r="E12" s="242">
        <v>150</v>
      </c>
      <c r="F12" s="190">
        <f>C12*D12*E12</f>
        <v>2100</v>
      </c>
      <c r="G12" s="212">
        <f>F12*0.231</f>
        <v>485</v>
      </c>
      <c r="H12" s="190"/>
      <c r="I12" s="190">
        <v>120</v>
      </c>
      <c r="J12" s="242">
        <v>150</v>
      </c>
      <c r="K12" s="105">
        <f>I12*J12</f>
        <v>18000</v>
      </c>
      <c r="L12" s="242"/>
      <c r="M12" s="257">
        <f>SUM(F12:G13,K12:K13)</f>
        <v>20585</v>
      </c>
      <c r="N12" s="125" t="s">
        <v>1363</v>
      </c>
      <c r="O12" s="899"/>
    </row>
    <row r="13" spans="1:14" ht="13.5" thickBot="1">
      <c r="A13" s="140"/>
      <c r="B13" s="98" t="s">
        <v>1274</v>
      </c>
      <c r="C13" s="97"/>
      <c r="D13" s="97"/>
      <c r="E13" s="105" t="s">
        <v>1458</v>
      </c>
      <c r="F13" s="199"/>
      <c r="G13" s="143"/>
      <c r="H13" s="97"/>
      <c r="I13" s="97"/>
      <c r="J13" s="105"/>
      <c r="K13" s="105"/>
      <c r="L13" s="98"/>
      <c r="M13" s="143"/>
      <c r="N13" s="217"/>
    </row>
    <row r="14" spans="1:20" s="732" customFormat="1" ht="12.75" customHeight="1" thickBot="1">
      <c r="A14" s="693"/>
      <c r="B14" s="697" t="s">
        <v>1783</v>
      </c>
      <c r="C14" s="696"/>
      <c r="D14" s="696"/>
      <c r="E14" s="697"/>
      <c r="F14" s="697">
        <f>SUM(F12:F13)</f>
        <v>2100</v>
      </c>
      <c r="G14" s="698">
        <f>SUM(G12:G13)</f>
        <v>485</v>
      </c>
      <c r="H14" s="696" t="s">
        <v>318</v>
      </c>
      <c r="I14" s="696" t="s">
        <v>318</v>
      </c>
      <c r="J14" s="697" t="s">
        <v>318</v>
      </c>
      <c r="K14" s="697">
        <f>SUM(K11:K13)</f>
        <v>28000</v>
      </c>
      <c r="L14" s="697">
        <f>SUM(L12:L13)</f>
        <v>0</v>
      </c>
      <c r="M14" s="698">
        <f>SUM(M11:M13)</f>
        <v>30585</v>
      </c>
      <c r="N14" s="719"/>
      <c r="O14" s="901" t="s">
        <v>318</v>
      </c>
      <c r="P14" s="732" t="s">
        <v>318</v>
      </c>
      <c r="Q14" s="732" t="s">
        <v>318</v>
      </c>
      <c r="T14" s="732">
        <f>SUM(F14:K14)</f>
        <v>30585</v>
      </c>
    </row>
    <row r="15" spans="1:14" ht="12.75">
      <c r="A15" s="120" t="s">
        <v>318</v>
      </c>
      <c r="B15" s="135" t="s">
        <v>1149</v>
      </c>
      <c r="C15" s="106"/>
      <c r="D15" s="106"/>
      <c r="E15" s="121"/>
      <c r="F15" s="121"/>
      <c r="G15" s="122"/>
      <c r="H15" s="106"/>
      <c r="I15" s="106"/>
      <c r="J15" s="121"/>
      <c r="K15" s="121"/>
      <c r="L15" s="121"/>
      <c r="M15" s="122"/>
      <c r="N15" s="129"/>
    </row>
    <row r="16" spans="1:15" s="268" customFormat="1" ht="23.25" customHeight="1" thickBot="1">
      <c r="A16" s="1103">
        <v>1</v>
      </c>
      <c r="B16" s="258" t="s">
        <v>1090</v>
      </c>
      <c r="C16" s="258">
        <v>45</v>
      </c>
      <c r="D16" s="251">
        <v>3</v>
      </c>
      <c r="E16" s="251">
        <v>100</v>
      </c>
      <c r="F16" s="252">
        <f>C16*D16*E16</f>
        <v>13500</v>
      </c>
      <c r="G16" s="257">
        <f>F16*0.231</f>
        <v>3119</v>
      </c>
      <c r="H16" s="251"/>
      <c r="I16" s="251">
        <v>30</v>
      </c>
      <c r="J16" s="251">
        <v>150</v>
      </c>
      <c r="K16" s="257">
        <f>I16*J16</f>
        <v>4500</v>
      </c>
      <c r="L16" s="257"/>
      <c r="M16" s="253">
        <f>F16+K16+G16</f>
        <v>21119</v>
      </c>
      <c r="N16" s="263" t="s">
        <v>541</v>
      </c>
      <c r="O16" s="899" t="s">
        <v>1091</v>
      </c>
    </row>
    <row r="17" spans="1:20" s="732" customFormat="1" ht="12.75" customHeight="1" thickBot="1">
      <c r="A17" s="693"/>
      <c r="B17" s="697" t="s">
        <v>1783</v>
      </c>
      <c r="C17" s="696"/>
      <c r="D17" s="696"/>
      <c r="E17" s="697"/>
      <c r="F17" s="719">
        <f>SUM(F16:F16)</f>
        <v>13500</v>
      </c>
      <c r="G17" s="719">
        <f>SUM(G16:G16)</f>
        <v>3119</v>
      </c>
      <c r="H17" s="719">
        <f>SUM(H19:H19)</f>
        <v>0</v>
      </c>
      <c r="I17" s="719"/>
      <c r="J17" s="719"/>
      <c r="K17" s="731">
        <f>SUM(K16:K16)</f>
        <v>4500</v>
      </c>
      <c r="L17" s="697">
        <f>SUM(L19:L19)</f>
        <v>0</v>
      </c>
      <c r="M17" s="698">
        <f>SUM(M16:M16)</f>
        <v>21119</v>
      </c>
      <c r="N17" s="719"/>
      <c r="O17" s="901" t="s">
        <v>318</v>
      </c>
      <c r="P17" s="732" t="s">
        <v>318</v>
      </c>
      <c r="Q17" s="732" t="s">
        <v>318</v>
      </c>
      <c r="T17" s="732">
        <f>SUM(F17:K17)</f>
        <v>21119</v>
      </c>
    </row>
    <row r="18" spans="1:15" ht="12.75">
      <c r="A18" s="120" t="s">
        <v>318</v>
      </c>
      <c r="B18" s="135" t="s">
        <v>138</v>
      </c>
      <c r="C18" s="106"/>
      <c r="D18" s="106"/>
      <c r="E18" s="121"/>
      <c r="F18" s="121"/>
      <c r="G18" s="122"/>
      <c r="H18" s="106"/>
      <c r="I18" s="106"/>
      <c r="J18" s="121"/>
      <c r="K18" s="121"/>
      <c r="L18" s="121"/>
      <c r="M18" s="122"/>
      <c r="N18" s="129"/>
      <c r="O18" s="898" t="s">
        <v>318</v>
      </c>
    </row>
    <row r="19" spans="1:15" s="268" customFormat="1" ht="13.5" customHeight="1" thickBot="1">
      <c r="A19" s="249">
        <v>1</v>
      </c>
      <c r="B19" s="242" t="s">
        <v>1392</v>
      </c>
      <c r="C19" s="251"/>
      <c r="D19" s="251"/>
      <c r="E19" s="250"/>
      <c r="F19" s="252"/>
      <c r="G19" s="253"/>
      <c r="H19" s="251"/>
      <c r="I19" s="251">
        <v>100</v>
      </c>
      <c r="J19" s="250">
        <v>150</v>
      </c>
      <c r="K19" s="252">
        <f>I19*J19</f>
        <v>15000</v>
      </c>
      <c r="L19" s="264"/>
      <c r="M19" s="307">
        <f>F19+K19+G19</f>
        <v>15000</v>
      </c>
      <c r="N19" s="269" t="s">
        <v>1363</v>
      </c>
      <c r="O19" s="899"/>
    </row>
    <row r="20" spans="1:20" s="732" customFormat="1" ht="12.75" customHeight="1" thickBot="1">
      <c r="A20" s="693"/>
      <c r="B20" s="697" t="s">
        <v>1783</v>
      </c>
      <c r="C20" s="696"/>
      <c r="D20" s="696"/>
      <c r="E20" s="697"/>
      <c r="F20" s="697">
        <f>SUM(F18:F19)</f>
        <v>0</v>
      </c>
      <c r="G20" s="697">
        <f>SUM(G18:G19)</f>
        <v>0</v>
      </c>
      <c r="H20" s="696" t="s">
        <v>318</v>
      </c>
      <c r="I20" s="696" t="s">
        <v>318</v>
      </c>
      <c r="J20" s="697" t="s">
        <v>318</v>
      </c>
      <c r="K20" s="698">
        <f>SUM(K19)</f>
        <v>15000</v>
      </c>
      <c r="L20" s="698">
        <f>SUM(L16:L16)</f>
        <v>0</v>
      </c>
      <c r="M20" s="698">
        <f>SUM(M19)</f>
        <v>15000</v>
      </c>
      <c r="N20" s="731"/>
      <c r="O20" s="901" t="s">
        <v>318</v>
      </c>
      <c r="P20" s="732" t="s">
        <v>318</v>
      </c>
      <c r="Q20" s="732" t="s">
        <v>318</v>
      </c>
      <c r="T20" s="732">
        <f>SUM(F20:K20)</f>
        <v>15000</v>
      </c>
    </row>
    <row r="21" spans="1:14" ht="12.75" customHeight="1">
      <c r="A21" s="120"/>
      <c r="B21" s="135" t="s">
        <v>139</v>
      </c>
      <c r="C21" s="106"/>
      <c r="D21" s="106"/>
      <c r="E21" s="121"/>
      <c r="F21" s="121"/>
      <c r="G21" s="124"/>
      <c r="H21" s="106"/>
      <c r="I21" s="106"/>
      <c r="J21" s="121"/>
      <c r="K21" s="121"/>
      <c r="L21" s="121"/>
      <c r="M21" s="122"/>
      <c r="N21" s="129"/>
    </row>
    <row r="22" spans="1:15" s="268" customFormat="1" ht="15" customHeight="1" thickBot="1">
      <c r="A22" s="326">
        <v>1</v>
      </c>
      <c r="B22" s="261" t="s">
        <v>1721</v>
      </c>
      <c r="C22" s="327">
        <v>0</v>
      </c>
      <c r="D22" s="327"/>
      <c r="E22" s="261"/>
      <c r="F22" s="236">
        <f>C22*D22*E22</f>
        <v>0</v>
      </c>
      <c r="G22" s="243">
        <f>F22*0.231</f>
        <v>0</v>
      </c>
      <c r="H22" s="327"/>
      <c r="I22" s="327">
        <v>30</v>
      </c>
      <c r="J22" s="261">
        <v>150</v>
      </c>
      <c r="K22" s="242">
        <f>I22*J22</f>
        <v>4500</v>
      </c>
      <c r="L22" s="242"/>
      <c r="M22" s="331">
        <f>SUM(K22+F22+G22)</f>
        <v>4500</v>
      </c>
      <c r="N22" s="263" t="s">
        <v>541</v>
      </c>
      <c r="O22" s="899"/>
    </row>
    <row r="23" spans="1:19" s="732" customFormat="1" ht="12.75" customHeight="1" thickBot="1">
      <c r="A23" s="693"/>
      <c r="B23" s="697" t="s">
        <v>1783</v>
      </c>
      <c r="C23" s="696"/>
      <c r="D23" s="696"/>
      <c r="E23" s="697"/>
      <c r="F23" s="697">
        <f>SUM(F22:F22)</f>
        <v>0</v>
      </c>
      <c r="G23" s="698">
        <f>SUM(G22:G22)</f>
        <v>0</v>
      </c>
      <c r="H23" s="696" t="s">
        <v>318</v>
      </c>
      <c r="I23" s="696" t="s">
        <v>318</v>
      </c>
      <c r="J23" s="697" t="s">
        <v>318</v>
      </c>
      <c r="K23" s="694">
        <f>SUM(K22:K22)</f>
        <v>4500</v>
      </c>
      <c r="L23" s="694">
        <f>SUM(L22:L22)</f>
        <v>0</v>
      </c>
      <c r="M23" s="698">
        <f>SUM(M22:M22)</f>
        <v>4500</v>
      </c>
      <c r="N23" s="719"/>
      <c r="O23" s="901" t="s">
        <v>318</v>
      </c>
      <c r="P23" s="732" t="s">
        <v>318</v>
      </c>
      <c r="S23" s="732">
        <f>SUM(F23:K23)</f>
        <v>4500</v>
      </c>
    </row>
    <row r="24" spans="1:14" ht="12.75">
      <c r="A24" s="120" t="s">
        <v>318</v>
      </c>
      <c r="B24" s="135" t="s">
        <v>140</v>
      </c>
      <c r="C24" s="106"/>
      <c r="D24" s="106"/>
      <c r="E24" s="121"/>
      <c r="F24" s="121"/>
      <c r="G24" s="124"/>
      <c r="H24" s="106"/>
      <c r="I24" s="106"/>
      <c r="J24" s="121"/>
      <c r="K24" s="121"/>
      <c r="L24" s="121"/>
      <c r="M24" s="122"/>
      <c r="N24" s="129"/>
    </row>
    <row r="25" spans="1:15" s="268" customFormat="1" ht="14.25" customHeight="1" thickBot="1">
      <c r="A25" s="274">
        <v>1</v>
      </c>
      <c r="B25" s="265" t="s">
        <v>815</v>
      </c>
      <c r="C25" s="266">
        <v>4</v>
      </c>
      <c r="D25" s="266">
        <v>3</v>
      </c>
      <c r="E25" s="265">
        <v>120</v>
      </c>
      <c r="F25" s="265">
        <f>C25*D25*E25</f>
        <v>1440</v>
      </c>
      <c r="G25" s="307">
        <f>F25*0.226</f>
        <v>325</v>
      </c>
      <c r="H25" s="266"/>
      <c r="I25" s="266">
        <v>24</v>
      </c>
      <c r="J25" s="265">
        <v>150</v>
      </c>
      <c r="K25" s="265">
        <f>I25*J25</f>
        <v>3600</v>
      </c>
      <c r="L25" s="265"/>
      <c r="M25" s="329">
        <f>F25+K25+G25</f>
        <v>5365</v>
      </c>
      <c r="N25" s="330" t="s">
        <v>1363</v>
      </c>
      <c r="O25" s="899" t="s">
        <v>318</v>
      </c>
    </row>
    <row r="26" spans="1:19" s="732" customFormat="1" ht="12.75" customHeight="1" thickBot="1">
      <c r="A26" s="693"/>
      <c r="B26" s="697" t="s">
        <v>1783</v>
      </c>
      <c r="C26" s="696"/>
      <c r="D26" s="696"/>
      <c r="E26" s="697"/>
      <c r="F26" s="697">
        <f>SUM(F25:F25)</f>
        <v>1440</v>
      </c>
      <c r="G26" s="703">
        <f>SUM(G25:G25)</f>
        <v>325</v>
      </c>
      <c r="H26" s="696" t="s">
        <v>318</v>
      </c>
      <c r="I26" s="696" t="s">
        <v>318</v>
      </c>
      <c r="J26" s="697" t="s">
        <v>318</v>
      </c>
      <c r="K26" s="697">
        <f>SUM(K25:K25)</f>
        <v>3600</v>
      </c>
      <c r="L26" s="697"/>
      <c r="M26" s="698">
        <f>SUM(M25:M25)</f>
        <v>5365</v>
      </c>
      <c r="N26" s="731"/>
      <c r="O26" s="901" t="s">
        <v>318</v>
      </c>
      <c r="S26" s="732">
        <f>SUM(F26:K26)</f>
        <v>5365</v>
      </c>
    </row>
    <row r="27" spans="1:14" ht="12.75">
      <c r="A27" s="120" t="s">
        <v>318</v>
      </c>
      <c r="B27" s="135" t="s">
        <v>141</v>
      </c>
      <c r="C27" s="106"/>
      <c r="D27" s="106"/>
      <c r="E27" s="121"/>
      <c r="F27" s="121"/>
      <c r="G27" s="124"/>
      <c r="H27" s="106"/>
      <c r="I27" s="106"/>
      <c r="J27" s="121"/>
      <c r="K27" s="121"/>
      <c r="L27" s="121"/>
      <c r="M27" s="122"/>
      <c r="N27" s="129"/>
    </row>
    <row r="28" spans="1:15" s="268" customFormat="1" ht="17.25" customHeight="1" thickBot="1">
      <c r="A28" s="326">
        <v>1</v>
      </c>
      <c r="B28" s="261" t="s">
        <v>763</v>
      </c>
      <c r="C28" s="327"/>
      <c r="D28" s="327"/>
      <c r="E28" s="261"/>
      <c r="F28" s="261"/>
      <c r="G28" s="331"/>
      <c r="H28" s="327"/>
      <c r="I28" s="327">
        <v>100</v>
      </c>
      <c r="J28" s="261">
        <v>150</v>
      </c>
      <c r="K28" s="261">
        <f>I28*J28</f>
        <v>15000</v>
      </c>
      <c r="L28" s="261"/>
      <c r="M28" s="328">
        <f>SUM(K28)</f>
        <v>15000</v>
      </c>
      <c r="N28" s="263" t="s">
        <v>541</v>
      </c>
      <c r="O28" s="899"/>
    </row>
    <row r="29" spans="1:19" s="732" customFormat="1" ht="12.75" customHeight="1" thickBot="1">
      <c r="A29" s="693"/>
      <c r="B29" s="697" t="s">
        <v>1783</v>
      </c>
      <c r="C29" s="696"/>
      <c r="D29" s="696"/>
      <c r="E29" s="697"/>
      <c r="F29" s="697">
        <f>SUM(F28:F28)</f>
        <v>0</v>
      </c>
      <c r="G29" s="703">
        <f>SUM(G28:G28)</f>
        <v>0</v>
      </c>
      <c r="H29" s="696" t="s">
        <v>318</v>
      </c>
      <c r="I29" s="696" t="s">
        <v>318</v>
      </c>
      <c r="J29" s="697" t="s">
        <v>318</v>
      </c>
      <c r="K29" s="697">
        <f>SUM(K28:K28)</f>
        <v>15000</v>
      </c>
      <c r="L29" s="697"/>
      <c r="M29" s="698">
        <f>SUM(M28:M28)</f>
        <v>15000</v>
      </c>
      <c r="N29" s="731"/>
      <c r="O29" s="901" t="s">
        <v>318</v>
      </c>
      <c r="S29" s="732">
        <f>SUM(F29:K29)</f>
        <v>15000</v>
      </c>
    </row>
    <row r="30" spans="1:15" s="21" customFormat="1" ht="13.5" thickBot="1">
      <c r="A30" s="106"/>
      <c r="B30" s="106"/>
      <c r="C30" s="106"/>
      <c r="D30" s="106"/>
      <c r="E30" s="106"/>
      <c r="F30" s="106"/>
      <c r="G30" s="123"/>
      <c r="H30" s="106"/>
      <c r="I30" s="106"/>
      <c r="J30" s="106"/>
      <c r="K30" s="106"/>
      <c r="L30" s="106"/>
      <c r="M30" s="123"/>
      <c r="N30" s="106"/>
      <c r="O30" s="903"/>
    </row>
    <row r="31" spans="1:19" s="29" customFormat="1" ht="16.5" customHeight="1" thickBot="1">
      <c r="A31" s="721"/>
      <c r="B31" s="286" t="s">
        <v>485</v>
      </c>
      <c r="C31" s="205"/>
      <c r="D31" s="205"/>
      <c r="E31" s="286"/>
      <c r="F31" s="868">
        <f aca="true" t="shared" si="0" ref="F31:M31">SUM(F9,F14,,F20,F23,F26,F29,F17)</f>
        <v>18480</v>
      </c>
      <c r="G31" s="868">
        <f t="shared" si="0"/>
        <v>4254</v>
      </c>
      <c r="H31" s="868">
        <f t="shared" si="0"/>
        <v>0</v>
      </c>
      <c r="I31" s="868">
        <f t="shared" si="0"/>
        <v>0</v>
      </c>
      <c r="J31" s="868">
        <f t="shared" si="0"/>
        <v>0</v>
      </c>
      <c r="K31" s="868">
        <f t="shared" si="0"/>
        <v>82850</v>
      </c>
      <c r="L31" s="868">
        <f t="shared" si="0"/>
        <v>0</v>
      </c>
      <c r="M31" s="868">
        <f t="shared" si="0"/>
        <v>105584</v>
      </c>
      <c r="N31" s="735"/>
      <c r="O31" s="904" t="s">
        <v>318</v>
      </c>
      <c r="P31" s="1647">
        <f>SUM(F31:L31)</f>
        <v>105584</v>
      </c>
      <c r="S31" s="29">
        <f>SUM(F31:K31)</f>
        <v>105584</v>
      </c>
    </row>
    <row r="32" spans="1:14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14" ht="12.75">
      <c r="A33" s="139" t="s">
        <v>1709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</sheetData>
  <mergeCells count="6">
    <mergeCell ref="C3:G3"/>
    <mergeCell ref="H3:K3"/>
    <mergeCell ref="A4:A5"/>
    <mergeCell ref="B4:B5"/>
    <mergeCell ref="C4:G4"/>
    <mergeCell ref="H4:K4"/>
  </mergeCells>
  <printOptions/>
  <pageMargins left="0.7874015748031497" right="0.3937007874015748" top="0.984251968503937" bottom="0.3937007874015748" header="0.11811023622047245" footer="0"/>
  <pageSetup firstPageNumber="57" useFirstPageNumber="1" horizontalDpi="120" verticalDpi="12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showZeros="0" view="pageBreakPreview" zoomScale="75" zoomScaleNormal="75" zoomScaleSheetLayoutView="75" workbookViewId="0" topLeftCell="A1">
      <selection activeCell="G30" sqref="G30"/>
    </sheetView>
  </sheetViews>
  <sheetFormatPr defaultColWidth="9.00390625" defaultRowHeight="12.75"/>
  <cols>
    <col min="1" max="1" width="5.125" style="0" customWidth="1"/>
    <col min="2" max="2" width="27.125" style="0" customWidth="1"/>
    <col min="3" max="3" width="8.25390625" style="0" customWidth="1"/>
    <col min="4" max="4" width="8.125" style="0" customWidth="1"/>
    <col min="5" max="6" width="9.625" style="0" customWidth="1"/>
    <col min="7" max="7" width="8.375" style="0" customWidth="1"/>
    <col min="8" max="8" width="7.375" style="0" customWidth="1"/>
    <col min="9" max="9" width="6.625" style="0" customWidth="1"/>
    <col min="11" max="11" width="10.625" style="0" customWidth="1"/>
    <col min="12" max="12" width="8.625" style="0" customWidth="1"/>
  </cols>
  <sheetData>
    <row r="1" s="7" customFormat="1" ht="15">
      <c r="B1" s="15" t="s">
        <v>1679</v>
      </c>
    </row>
    <row r="2" spans="2:12" s="7" customFormat="1" ht="15.75" thickBot="1">
      <c r="B2" s="15"/>
      <c r="L2" s="28" t="s">
        <v>1247</v>
      </c>
    </row>
    <row r="3" spans="1:12" s="7" customFormat="1" ht="12.75">
      <c r="A3" s="738"/>
      <c r="B3" s="738"/>
      <c r="C3" s="1882" t="s">
        <v>1034</v>
      </c>
      <c r="D3" s="1883"/>
      <c r="E3" s="1883"/>
      <c r="F3" s="1883"/>
      <c r="G3" s="1884"/>
      <c r="H3" s="1882" t="s">
        <v>1035</v>
      </c>
      <c r="I3" s="1883"/>
      <c r="J3" s="1884"/>
      <c r="K3" s="738"/>
      <c r="L3" s="737"/>
    </row>
    <row r="4" spans="1:12" s="3" customFormat="1" ht="13.5" customHeight="1" thickBot="1">
      <c r="A4" s="1826" t="s">
        <v>316</v>
      </c>
      <c r="B4" s="1826" t="s">
        <v>317</v>
      </c>
      <c r="C4" s="1854" t="s">
        <v>901</v>
      </c>
      <c r="D4" s="1855"/>
      <c r="E4" s="1855"/>
      <c r="F4" s="1855"/>
      <c r="G4" s="1856"/>
      <c r="H4" s="1854" t="s">
        <v>902</v>
      </c>
      <c r="I4" s="1855"/>
      <c r="J4" s="1856"/>
      <c r="K4" s="728" t="s">
        <v>265</v>
      </c>
      <c r="L4" s="296" t="s">
        <v>1415</v>
      </c>
    </row>
    <row r="5" spans="1:12" s="3" customFormat="1" ht="12.75" thickBot="1">
      <c r="A5" s="1827"/>
      <c r="B5" s="1827"/>
      <c r="C5" s="333" t="s">
        <v>776</v>
      </c>
      <c r="D5" s="158" t="s">
        <v>777</v>
      </c>
      <c r="E5" s="333" t="s">
        <v>69</v>
      </c>
      <c r="F5" s="158" t="s">
        <v>778</v>
      </c>
      <c r="G5" s="333" t="s">
        <v>467</v>
      </c>
      <c r="H5" s="158" t="s">
        <v>779</v>
      </c>
      <c r="I5" s="333" t="s">
        <v>785</v>
      </c>
      <c r="J5" s="158" t="s">
        <v>778</v>
      </c>
      <c r="K5" s="335" t="s">
        <v>1365</v>
      </c>
      <c r="L5" s="226"/>
    </row>
    <row r="6" spans="1:12" s="1" customFormat="1" ht="12.75">
      <c r="A6" s="117"/>
      <c r="B6" s="233" t="s">
        <v>1150</v>
      </c>
      <c r="C6" s="28"/>
      <c r="D6" s="28"/>
      <c r="E6" s="66"/>
      <c r="F6" s="59"/>
      <c r="G6" s="59"/>
      <c r="H6" s="28"/>
      <c r="I6" s="28"/>
      <c r="J6" s="59"/>
      <c r="K6" s="66"/>
      <c r="L6" s="230"/>
    </row>
    <row r="7" spans="1:12" s="13" customFormat="1" ht="13.5" customHeight="1">
      <c r="A7" s="117">
        <v>1</v>
      </c>
      <c r="B7" s="59" t="s">
        <v>753</v>
      </c>
      <c r="C7" s="28">
        <v>3</v>
      </c>
      <c r="D7" s="28">
        <v>7</v>
      </c>
      <c r="E7" s="66">
        <v>170</v>
      </c>
      <c r="F7" s="59">
        <f>C7*D7*E7</f>
        <v>3570</v>
      </c>
      <c r="G7" s="79">
        <f>F7*0.231</f>
        <v>825</v>
      </c>
      <c r="H7" s="28">
        <v>96</v>
      </c>
      <c r="I7" s="28">
        <v>100</v>
      </c>
      <c r="J7" s="59">
        <f>H7*I7</f>
        <v>9600</v>
      </c>
      <c r="K7" s="81">
        <f>SUM(F7:G9,J7:J9)</f>
        <v>44201</v>
      </c>
      <c r="L7" s="230" t="s">
        <v>541</v>
      </c>
    </row>
    <row r="8" spans="1:12" s="13" customFormat="1" ht="12.75">
      <c r="A8" s="117"/>
      <c r="B8" s="60" t="s">
        <v>1107</v>
      </c>
      <c r="C8" s="28">
        <v>18</v>
      </c>
      <c r="D8" s="28">
        <v>3</v>
      </c>
      <c r="E8" s="66">
        <v>120</v>
      </c>
      <c r="F8" s="59">
        <f>C8*D8*E8</f>
        <v>6480</v>
      </c>
      <c r="G8" s="79">
        <f>F8*0.231</f>
        <v>1497</v>
      </c>
      <c r="H8" s="28">
        <v>96</v>
      </c>
      <c r="I8" s="28">
        <v>90</v>
      </c>
      <c r="J8" s="59">
        <f>H8*I8</f>
        <v>8640</v>
      </c>
      <c r="K8" s="336"/>
      <c r="L8" s="230"/>
    </row>
    <row r="9" spans="1:12" s="13" customFormat="1" ht="13.5" thickBot="1">
      <c r="A9" s="117"/>
      <c r="B9" s="59"/>
      <c r="C9" s="28">
        <v>6</v>
      </c>
      <c r="D9" s="28">
        <v>20</v>
      </c>
      <c r="E9" s="66">
        <v>40</v>
      </c>
      <c r="F9" s="59">
        <f>C9*D9*E9</f>
        <v>4800</v>
      </c>
      <c r="G9" s="79">
        <f>F9*0.231</f>
        <v>1109</v>
      </c>
      <c r="H9" s="28">
        <v>96</v>
      </c>
      <c r="I9" s="28">
        <v>80</v>
      </c>
      <c r="J9" s="59">
        <f>H9*I9</f>
        <v>7680</v>
      </c>
      <c r="K9" s="336"/>
      <c r="L9" s="230"/>
    </row>
    <row r="10" spans="1:12" s="36" customFormat="1" ht="13.5" thickBot="1">
      <c r="A10" s="130"/>
      <c r="B10" s="131" t="s">
        <v>1783</v>
      </c>
      <c r="C10" s="132"/>
      <c r="D10" s="132"/>
      <c r="E10" s="131"/>
      <c r="F10" s="138">
        <f>SUM(F7:F9)</f>
        <v>14850</v>
      </c>
      <c r="G10" s="138">
        <f>SUM(G7:G9)</f>
        <v>3431</v>
      </c>
      <c r="H10" s="193"/>
      <c r="I10" s="193"/>
      <c r="J10" s="136">
        <f>SUM(J7:J9)</f>
        <v>25920</v>
      </c>
      <c r="K10" s="136">
        <f>SUM(K7:K9)</f>
        <v>44201</v>
      </c>
      <c r="L10" s="222"/>
    </row>
    <row r="11" spans="1:12" s="35" customFormat="1" ht="12.75">
      <c r="A11" s="120" t="s">
        <v>318</v>
      </c>
      <c r="B11" s="135" t="s">
        <v>1205</v>
      </c>
      <c r="C11" s="106"/>
      <c r="D11" s="106"/>
      <c r="E11" s="121"/>
      <c r="F11" s="121"/>
      <c r="G11" s="124"/>
      <c r="H11" s="106"/>
      <c r="I11" s="106"/>
      <c r="J11" s="127"/>
      <c r="K11" s="121"/>
      <c r="L11" s="285"/>
    </row>
    <row r="12" spans="1:12" s="39" customFormat="1" ht="12.75">
      <c r="A12" s="120">
        <v>1</v>
      </c>
      <c r="B12" s="121" t="s">
        <v>481</v>
      </c>
      <c r="C12" s="106">
        <v>2</v>
      </c>
      <c r="D12" s="106">
        <v>7</v>
      </c>
      <c r="E12" s="121">
        <v>170</v>
      </c>
      <c r="F12" s="121">
        <f>C12*D12*E12</f>
        <v>2380</v>
      </c>
      <c r="G12" s="124">
        <f>F12*0.231</f>
        <v>550</v>
      </c>
      <c r="H12" s="106">
        <v>100</v>
      </c>
      <c r="I12" s="106">
        <v>90</v>
      </c>
      <c r="J12" s="127">
        <f>H12*I12</f>
        <v>9000</v>
      </c>
      <c r="K12" s="81">
        <f>SUM(F12:G14,J12)</f>
        <v>22172</v>
      </c>
      <c r="L12" s="230" t="s">
        <v>541</v>
      </c>
    </row>
    <row r="13" spans="1:12" s="39" customFormat="1" ht="12.75">
      <c r="A13" s="120"/>
      <c r="B13" s="121" t="s">
        <v>1092</v>
      </c>
      <c r="C13" s="106">
        <v>12</v>
      </c>
      <c r="D13" s="106">
        <v>3</v>
      </c>
      <c r="E13" s="121">
        <v>120</v>
      </c>
      <c r="F13" s="121">
        <f>C13*D13*E13</f>
        <v>4320</v>
      </c>
      <c r="G13" s="124">
        <f>F13*0.231</f>
        <v>998</v>
      </c>
      <c r="H13" s="106"/>
      <c r="I13" s="106"/>
      <c r="J13" s="127">
        <f>H13*I13</f>
        <v>0</v>
      </c>
      <c r="K13" s="336"/>
      <c r="L13" s="230"/>
    </row>
    <row r="14" spans="1:12" s="39" customFormat="1" ht="13.5" thickBot="1">
      <c r="A14" s="120"/>
      <c r="B14" s="121"/>
      <c r="C14" s="106">
        <v>5</v>
      </c>
      <c r="D14" s="106">
        <v>20</v>
      </c>
      <c r="E14" s="121">
        <v>40</v>
      </c>
      <c r="F14" s="121">
        <f>C14*D14*E14</f>
        <v>4000</v>
      </c>
      <c r="G14" s="124">
        <f>F14*0.231</f>
        <v>924</v>
      </c>
      <c r="H14" s="106"/>
      <c r="I14" s="106"/>
      <c r="J14" s="127">
        <f>H14*I14</f>
        <v>0</v>
      </c>
      <c r="K14" s="336"/>
      <c r="L14" s="230"/>
    </row>
    <row r="15" spans="1:15" s="8" customFormat="1" ht="12.75" customHeight="1" thickBot="1">
      <c r="A15" s="146"/>
      <c r="B15" s="46" t="s">
        <v>1783</v>
      </c>
      <c r="C15" s="47"/>
      <c r="D15" s="47"/>
      <c r="E15" s="46"/>
      <c r="F15" s="90">
        <f>SUM(F12:F14)</f>
        <v>10700</v>
      </c>
      <c r="G15" s="49">
        <f>SUM(G12:G14)</f>
        <v>2472</v>
      </c>
      <c r="H15" s="48"/>
      <c r="I15" s="90"/>
      <c r="J15" s="90">
        <f>SUM(J12:J14)</f>
        <v>9000</v>
      </c>
      <c r="K15" s="49">
        <f>SUM(K12:K14)</f>
        <v>22172</v>
      </c>
      <c r="L15" s="103"/>
      <c r="O15" s="8" t="s">
        <v>318</v>
      </c>
    </row>
    <row r="16" spans="1:12" ht="13.5" thickBot="1">
      <c r="A16" s="2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4" s="11" customFormat="1" ht="16.5" customHeight="1" thickBot="1">
      <c r="A17" s="321"/>
      <c r="B17" s="321" t="s">
        <v>1216</v>
      </c>
      <c r="C17" s="109"/>
      <c r="D17" s="109"/>
      <c r="E17" s="109"/>
      <c r="F17" s="176">
        <f>SUM(F10,F15)</f>
        <v>25550</v>
      </c>
      <c r="G17" s="151">
        <f>SUM(G10,G15)</f>
        <v>5903</v>
      </c>
      <c r="H17" s="109"/>
      <c r="I17" s="109"/>
      <c r="J17" s="176">
        <f>SUM(J10,J15)</f>
        <v>34920</v>
      </c>
      <c r="K17" s="176">
        <f>SUM(K10,K15)</f>
        <v>66373</v>
      </c>
      <c r="L17" s="110"/>
      <c r="N17" s="9">
        <f>SUM(F17:J17)</f>
        <v>66373</v>
      </c>
    </row>
    <row r="19" ht="12.75">
      <c r="B19" t="s">
        <v>1108</v>
      </c>
    </row>
  </sheetData>
  <mergeCells count="6">
    <mergeCell ref="H3:J3"/>
    <mergeCell ref="C3:G3"/>
    <mergeCell ref="B4:B5"/>
    <mergeCell ref="A4:A5"/>
    <mergeCell ref="C4:G4"/>
    <mergeCell ref="H4:J4"/>
  </mergeCells>
  <printOptions/>
  <pageMargins left="0.7874015748031497" right="0.3937007874015748" top="0.984251968503937" bottom="0.5905511811023623" header="0.5118110236220472" footer="0.5118110236220472"/>
  <pageSetup firstPageNumber="60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"/>
  <dimension ref="A1:R46"/>
  <sheetViews>
    <sheetView showGridLines="0" view="pageBreakPreview" zoomScale="75" zoomScaleNormal="85" zoomScaleSheetLayoutView="75" workbookViewId="0" topLeftCell="A1">
      <pane ySplit="6" topLeftCell="BM16" activePane="bottomLeft" state="frozen"/>
      <selection pane="topLeft" activeCell="A28" sqref="A28"/>
      <selection pane="bottomLeft" activeCell="B33" sqref="B33"/>
    </sheetView>
  </sheetViews>
  <sheetFormatPr defaultColWidth="9.00390625" defaultRowHeight="12.75"/>
  <cols>
    <col min="1" max="1" width="3.375" style="39" customWidth="1"/>
    <col min="2" max="2" width="27.625" style="39" customWidth="1"/>
    <col min="3" max="3" width="6.875" style="39" customWidth="1"/>
    <col min="4" max="4" width="8.375" style="39" customWidth="1"/>
    <col min="5" max="5" width="9.00390625" style="39" customWidth="1"/>
    <col min="6" max="6" width="7.375" style="39" customWidth="1"/>
    <col min="7" max="7" width="8.125" style="39" customWidth="1"/>
    <col min="8" max="8" width="7.875" style="39" customWidth="1"/>
    <col min="9" max="9" width="7.125" style="39" customWidth="1"/>
    <col min="10" max="10" width="8.125" style="39" customWidth="1"/>
    <col min="11" max="11" width="11.25390625" style="39" customWidth="1"/>
    <col min="12" max="12" width="13.75390625" style="39" customWidth="1"/>
    <col min="13" max="13" width="13.25390625" style="898" customWidth="1"/>
    <col min="14" max="15" width="9.125" style="39" customWidth="1"/>
    <col min="16" max="16" width="7.375" style="39" customWidth="1"/>
    <col min="17" max="16384" width="9.125" style="39" customWidth="1"/>
  </cols>
  <sheetData>
    <row r="1" ht="15.75">
      <c r="B1" s="183" t="s">
        <v>530</v>
      </c>
    </row>
    <row r="2" spans="1:13" s="34" customFormat="1" ht="24" customHeight="1">
      <c r="A2" s="1627" t="s">
        <v>1125</v>
      </c>
      <c r="B2" s="1807" t="s">
        <v>594</v>
      </c>
      <c r="C2" s="1807"/>
      <c r="D2" s="1807"/>
      <c r="E2" s="1807"/>
      <c r="F2" s="1807"/>
      <c r="G2" s="1807"/>
      <c r="H2" s="1807"/>
      <c r="I2" s="1807"/>
      <c r="J2" s="1807"/>
      <c r="K2" s="1807"/>
      <c r="L2" s="1807"/>
      <c r="M2" s="900"/>
    </row>
    <row r="3" spans="2:13" s="34" customFormat="1" ht="18.75" customHeight="1" thickBot="1">
      <c r="B3" s="33"/>
      <c r="L3" s="256" t="s">
        <v>1248</v>
      </c>
      <c r="M3" s="900"/>
    </row>
    <row r="4" spans="1:13" s="139" customFormat="1" ht="12.75" customHeight="1">
      <c r="A4" s="723"/>
      <c r="B4" s="723"/>
      <c r="C4" s="1821" t="s">
        <v>1034</v>
      </c>
      <c r="D4" s="1822"/>
      <c r="E4" s="1822"/>
      <c r="F4" s="1822"/>
      <c r="G4" s="1823"/>
      <c r="H4" s="1824" t="s">
        <v>1035</v>
      </c>
      <c r="I4" s="1804"/>
      <c r="J4" s="1808"/>
      <c r="K4" s="723"/>
      <c r="L4" s="723"/>
      <c r="M4" s="898"/>
    </row>
    <row r="5" spans="1:13" s="139" customFormat="1" ht="13.5" customHeight="1" thickBot="1">
      <c r="A5" s="1852" t="s">
        <v>316</v>
      </c>
      <c r="B5" s="1809" t="s">
        <v>317</v>
      </c>
      <c r="C5" s="1841" t="s">
        <v>901</v>
      </c>
      <c r="D5" s="1842"/>
      <c r="E5" s="1842"/>
      <c r="F5" s="1842"/>
      <c r="G5" s="1843"/>
      <c r="H5" s="1841" t="s">
        <v>902</v>
      </c>
      <c r="I5" s="1842"/>
      <c r="J5" s="1843"/>
      <c r="K5" s="724" t="s">
        <v>265</v>
      </c>
      <c r="L5" s="714" t="s">
        <v>68</v>
      </c>
      <c r="M5" s="898"/>
    </row>
    <row r="6" spans="1:13" s="182" customFormat="1" ht="12.75" thickBot="1">
      <c r="A6" s="1866"/>
      <c r="B6" s="1827"/>
      <c r="C6" s="208" t="s">
        <v>776</v>
      </c>
      <c r="D6" s="181" t="s">
        <v>777</v>
      </c>
      <c r="E6" s="180" t="s">
        <v>69</v>
      </c>
      <c r="F6" s="179" t="s">
        <v>778</v>
      </c>
      <c r="G6" s="180" t="s">
        <v>467</v>
      </c>
      <c r="H6" s="271" t="s">
        <v>779</v>
      </c>
      <c r="I6" s="179" t="s">
        <v>785</v>
      </c>
      <c r="J6" s="272" t="s">
        <v>778</v>
      </c>
      <c r="K6" s="208" t="s">
        <v>1365</v>
      </c>
      <c r="L6" s="181"/>
      <c r="M6" s="898"/>
    </row>
    <row r="7" spans="1:13" s="139" customFormat="1" ht="12">
      <c r="A7" s="120" t="s">
        <v>318</v>
      </c>
      <c r="B7" s="819" t="s">
        <v>367</v>
      </c>
      <c r="C7" s="106"/>
      <c r="D7" s="106"/>
      <c r="E7" s="121"/>
      <c r="F7" s="121"/>
      <c r="G7" s="127"/>
      <c r="H7" s="106"/>
      <c r="I7" s="121"/>
      <c r="J7" s="121"/>
      <c r="K7" s="121"/>
      <c r="L7" s="129"/>
      <c r="M7" s="898"/>
    </row>
    <row r="8" spans="1:13" s="139" customFormat="1" ht="24.75" customHeight="1" thickBot="1">
      <c r="A8" s="120">
        <v>1</v>
      </c>
      <c r="B8" s="1168" t="s">
        <v>1097</v>
      </c>
      <c r="C8" s="106">
        <v>4</v>
      </c>
      <c r="D8" s="106">
        <v>5</v>
      </c>
      <c r="E8" s="121">
        <v>80</v>
      </c>
      <c r="F8" s="121">
        <f>C8*D8*E8</f>
        <v>1600</v>
      </c>
      <c r="G8" s="818">
        <f>F8*0.226</f>
        <v>362</v>
      </c>
      <c r="H8" s="106">
        <v>42</v>
      </c>
      <c r="I8" s="121">
        <v>150</v>
      </c>
      <c r="J8" s="122">
        <f>H8*I8</f>
        <v>6300</v>
      </c>
      <c r="K8" s="818">
        <f>F8+J8+G8</f>
        <v>8262</v>
      </c>
      <c r="L8" s="125" t="s">
        <v>469</v>
      </c>
      <c r="M8" s="898"/>
    </row>
    <row r="9" spans="1:14" s="739" customFormat="1" ht="12.75" customHeight="1" thickBot="1">
      <c r="A9" s="693"/>
      <c r="B9" s="697" t="s">
        <v>1783</v>
      </c>
      <c r="C9" s="696"/>
      <c r="D9" s="696"/>
      <c r="E9" s="697"/>
      <c r="F9" s="697">
        <f>SUM(F8:F8)</f>
        <v>1600</v>
      </c>
      <c r="G9" s="698">
        <f>SUM(G7:G8)</f>
        <v>362</v>
      </c>
      <c r="H9" s="696"/>
      <c r="I9" s="697"/>
      <c r="J9" s="697">
        <f>SUM(J8:J8)</f>
        <v>6300</v>
      </c>
      <c r="K9" s="731">
        <f>SUM(K8:K8)</f>
        <v>8262</v>
      </c>
      <c r="L9" s="731"/>
      <c r="M9" s="901"/>
      <c r="N9" s="739" t="s">
        <v>318</v>
      </c>
    </row>
    <row r="10" spans="1:13" s="139" customFormat="1" ht="12">
      <c r="A10" s="120" t="s">
        <v>318</v>
      </c>
      <c r="B10" s="819" t="s">
        <v>1784</v>
      </c>
      <c r="C10" s="106"/>
      <c r="D10" s="106"/>
      <c r="E10" s="121"/>
      <c r="F10" s="121"/>
      <c r="G10" s="124"/>
      <c r="H10" s="106"/>
      <c r="I10" s="121"/>
      <c r="J10" s="121"/>
      <c r="K10" s="121"/>
      <c r="L10" s="129"/>
      <c r="M10" s="898"/>
    </row>
    <row r="11" spans="1:13" s="338" customFormat="1" ht="48.75" thickBot="1">
      <c r="A11" s="194">
        <v>1</v>
      </c>
      <c r="B11" s="242" t="s">
        <v>1722</v>
      </c>
      <c r="C11" s="170">
        <v>12</v>
      </c>
      <c r="D11" s="170">
        <v>2</v>
      </c>
      <c r="E11" s="184">
        <v>120</v>
      </c>
      <c r="F11" s="184">
        <f>C11*D11*E11</f>
        <v>2880</v>
      </c>
      <c r="G11" s="337">
        <f>F11*0.226</f>
        <v>651</v>
      </c>
      <c r="H11" s="170">
        <v>34</v>
      </c>
      <c r="I11" s="184">
        <v>150</v>
      </c>
      <c r="J11" s="184">
        <f>H11*I11</f>
        <v>5100</v>
      </c>
      <c r="K11" s="270">
        <f>F11+J11+G11</f>
        <v>8631</v>
      </c>
      <c r="L11" s="448"/>
      <c r="M11" s="903"/>
    </row>
    <row r="12" spans="1:14" s="739" customFormat="1" ht="12.75" customHeight="1" thickBot="1">
      <c r="A12" s="693"/>
      <c r="B12" s="697" t="s">
        <v>1783</v>
      </c>
      <c r="C12" s="696"/>
      <c r="D12" s="696"/>
      <c r="E12" s="697"/>
      <c r="F12" s="697">
        <f>SUM(F11:F11)</f>
        <v>2880</v>
      </c>
      <c r="G12" s="698">
        <f>SUM(G11:G11)</f>
        <v>651</v>
      </c>
      <c r="H12" s="696" t="s">
        <v>318</v>
      </c>
      <c r="I12" s="697" t="s">
        <v>318</v>
      </c>
      <c r="J12" s="697">
        <f>SUM(J11:J11)</f>
        <v>5100</v>
      </c>
      <c r="K12" s="731">
        <f>SUM(K11:K11)</f>
        <v>8631</v>
      </c>
      <c r="L12" s="731"/>
      <c r="M12" s="901"/>
      <c r="N12" s="739" t="s">
        <v>318</v>
      </c>
    </row>
    <row r="13" spans="1:13" s="139" customFormat="1" ht="12">
      <c r="A13" s="219" t="s">
        <v>318</v>
      </c>
      <c r="B13" s="819" t="s">
        <v>1785</v>
      </c>
      <c r="C13" s="106"/>
      <c r="D13" s="106"/>
      <c r="E13" s="220"/>
      <c r="F13" s="145"/>
      <c r="G13" s="339"/>
      <c r="H13" s="106"/>
      <c r="I13" s="220"/>
      <c r="J13" s="145"/>
      <c r="K13" s="145"/>
      <c r="L13" s="129"/>
      <c r="M13" s="898"/>
    </row>
    <row r="14" spans="1:13" s="338" customFormat="1" ht="24">
      <c r="A14" s="246">
        <v>1</v>
      </c>
      <c r="B14" s="261" t="s">
        <v>1098</v>
      </c>
      <c r="C14" s="239">
        <v>3</v>
      </c>
      <c r="D14" s="239">
        <v>2</v>
      </c>
      <c r="E14" s="237">
        <v>90</v>
      </c>
      <c r="F14" s="337">
        <f>C14*D14*E14</f>
        <v>540</v>
      </c>
      <c r="G14" s="337">
        <f>F14*0.231</f>
        <v>125</v>
      </c>
      <c r="H14" s="239">
        <v>14</v>
      </c>
      <c r="I14" s="237">
        <v>150</v>
      </c>
      <c r="J14" s="337">
        <f>H14*I14</f>
        <v>2100</v>
      </c>
      <c r="K14" s="337">
        <f>F14+J14+G14</f>
        <v>2765</v>
      </c>
      <c r="L14" s="247" t="s">
        <v>469</v>
      </c>
      <c r="M14" s="903"/>
    </row>
    <row r="15" spans="1:13" s="139" customFormat="1" ht="12.75" thickBot="1">
      <c r="A15" s="218">
        <v>2</v>
      </c>
      <c r="B15" s="104" t="s">
        <v>1735</v>
      </c>
      <c r="C15" s="85">
        <v>6</v>
      </c>
      <c r="D15" s="85">
        <v>1</v>
      </c>
      <c r="E15" s="104">
        <v>120</v>
      </c>
      <c r="F15" s="104">
        <f>C15*D15*E15</f>
        <v>720</v>
      </c>
      <c r="G15" s="337">
        <f>F15*0.226</f>
        <v>163</v>
      </c>
      <c r="H15" s="85">
        <v>12</v>
      </c>
      <c r="I15" s="104">
        <v>150</v>
      </c>
      <c r="J15" s="104">
        <f>H15*I15</f>
        <v>1800</v>
      </c>
      <c r="K15" s="337">
        <f>F15+J15+G15</f>
        <v>2683</v>
      </c>
      <c r="L15" s="1169" t="s">
        <v>469</v>
      </c>
      <c r="M15" s="898"/>
    </row>
    <row r="16" spans="1:14" s="739" customFormat="1" ht="12.75" customHeight="1" thickBot="1">
      <c r="A16" s="693"/>
      <c r="B16" s="697" t="s">
        <v>1783</v>
      </c>
      <c r="C16" s="696"/>
      <c r="D16" s="696"/>
      <c r="E16" s="697"/>
      <c r="F16" s="697">
        <f>SUM(F14:F15)</f>
        <v>1260</v>
      </c>
      <c r="G16" s="698">
        <f>SUM(G13:G15)</f>
        <v>288</v>
      </c>
      <c r="H16" s="696" t="s">
        <v>318</v>
      </c>
      <c r="I16" s="697" t="s">
        <v>318</v>
      </c>
      <c r="J16" s="697">
        <f>SUM(J14:J15)</f>
        <v>3900</v>
      </c>
      <c r="K16" s="731">
        <f>SUM(K14:K15)</f>
        <v>5448</v>
      </c>
      <c r="L16" s="731"/>
      <c r="M16" s="901"/>
      <c r="N16" s="739" t="s">
        <v>318</v>
      </c>
    </row>
    <row r="17" spans="1:13" s="1377" customFormat="1" ht="12.75" customHeight="1">
      <c r="A17" s="1369"/>
      <c r="B17" s="1370" t="s">
        <v>1786</v>
      </c>
      <c r="C17" s="1371"/>
      <c r="D17" s="1371"/>
      <c r="E17" s="1372"/>
      <c r="F17" s="1372"/>
      <c r="G17" s="1373"/>
      <c r="H17" s="1371"/>
      <c r="I17" s="1372"/>
      <c r="J17" s="1372"/>
      <c r="K17" s="1374"/>
      <c r="L17" s="1375"/>
      <c r="M17" s="1376"/>
    </row>
    <row r="18" spans="1:13" s="139" customFormat="1" ht="12">
      <c r="A18" s="140">
        <v>1</v>
      </c>
      <c r="B18" s="121" t="s">
        <v>1723</v>
      </c>
      <c r="C18" s="106">
        <v>2</v>
      </c>
      <c r="D18" s="106">
        <v>1</v>
      </c>
      <c r="E18" s="121">
        <v>170</v>
      </c>
      <c r="F18" s="121">
        <f>C18*D18*E18</f>
        <v>340</v>
      </c>
      <c r="G18" s="122">
        <f>F18*0.231</f>
        <v>79</v>
      </c>
      <c r="H18" s="106">
        <v>18</v>
      </c>
      <c r="I18" s="121">
        <v>150</v>
      </c>
      <c r="J18" s="121">
        <f>H18*I18</f>
        <v>2700</v>
      </c>
      <c r="K18" s="122">
        <f>F18+G18+J18</f>
        <v>3119</v>
      </c>
      <c r="L18" s="125" t="s">
        <v>469</v>
      </c>
      <c r="M18" s="898"/>
    </row>
    <row r="19" spans="1:13" s="139" customFormat="1" ht="12.75" customHeight="1" thickBot="1">
      <c r="A19" s="120">
        <v>2</v>
      </c>
      <c r="B19" s="203" t="s">
        <v>1724</v>
      </c>
      <c r="C19" s="202">
        <v>3</v>
      </c>
      <c r="D19" s="202">
        <v>1</v>
      </c>
      <c r="E19" s="201">
        <v>150</v>
      </c>
      <c r="F19" s="201">
        <f>C19*D19*E19</f>
        <v>450</v>
      </c>
      <c r="G19" s="211">
        <f>F19*0.231</f>
        <v>104</v>
      </c>
      <c r="H19" s="202">
        <v>6</v>
      </c>
      <c r="I19" s="201">
        <v>150</v>
      </c>
      <c r="J19" s="201">
        <f>H19*I19</f>
        <v>900</v>
      </c>
      <c r="K19" s="211">
        <f>F19+G19+J19</f>
        <v>1454</v>
      </c>
      <c r="L19" s="125" t="s">
        <v>469</v>
      </c>
      <c r="M19" s="898"/>
    </row>
    <row r="20" spans="1:13" s="739" customFormat="1" ht="12.75" customHeight="1" thickBot="1">
      <c r="A20" s="693"/>
      <c r="B20" s="697" t="s">
        <v>1783</v>
      </c>
      <c r="C20" s="696"/>
      <c r="D20" s="696"/>
      <c r="E20" s="697"/>
      <c r="F20" s="746">
        <f>SUM(F18:F19)</f>
        <v>790</v>
      </c>
      <c r="G20" s="703">
        <f>SUM(G18:G19)</f>
        <v>183</v>
      </c>
      <c r="H20" s="746"/>
      <c r="I20" s="746"/>
      <c r="J20" s="703">
        <f>SUM(J18:J19)</f>
        <v>3600</v>
      </c>
      <c r="K20" s="703">
        <f>SUM(K18:K19)</f>
        <v>4573</v>
      </c>
      <c r="L20" s="731"/>
      <c r="M20" s="901"/>
    </row>
    <row r="21" spans="1:13" s="139" customFormat="1" ht="12">
      <c r="A21" s="120"/>
      <c r="B21" s="1199" t="s">
        <v>1149</v>
      </c>
      <c r="C21" s="106"/>
      <c r="D21" s="106"/>
      <c r="E21" s="121"/>
      <c r="F21" s="121"/>
      <c r="G21" s="122"/>
      <c r="H21" s="106"/>
      <c r="I21" s="121"/>
      <c r="J21" s="121"/>
      <c r="K21" s="121"/>
      <c r="L21" s="129"/>
      <c r="M21" s="898"/>
    </row>
    <row r="22" spans="1:13" s="139" customFormat="1" ht="12.75" thickBot="1">
      <c r="A22" s="140">
        <v>1</v>
      </c>
      <c r="B22" s="105" t="s">
        <v>1099</v>
      </c>
      <c r="C22" s="97">
        <v>6</v>
      </c>
      <c r="D22" s="97">
        <v>4</v>
      </c>
      <c r="E22" s="105">
        <v>90</v>
      </c>
      <c r="F22" s="105">
        <f>C22*D22*E22</f>
        <v>2160</v>
      </c>
      <c r="G22" s="141">
        <f>F22*0.231</f>
        <v>499</v>
      </c>
      <c r="H22" s="97">
        <v>14</v>
      </c>
      <c r="I22" s="105">
        <v>150</v>
      </c>
      <c r="J22" s="121">
        <f>H22*I22</f>
        <v>2100</v>
      </c>
      <c r="K22" s="141">
        <f>F22+G22+J22</f>
        <v>4759</v>
      </c>
      <c r="L22" s="144" t="s">
        <v>469</v>
      </c>
      <c r="M22" s="898"/>
    </row>
    <row r="23" spans="1:14" s="739" customFormat="1" ht="12.75" customHeight="1" thickBot="1">
      <c r="A23" s="740"/>
      <c r="B23" s="697" t="s">
        <v>1783</v>
      </c>
      <c r="C23" s="696"/>
      <c r="D23" s="696"/>
      <c r="E23" s="697"/>
      <c r="F23" s="697">
        <f>SUM(F22:F22)</f>
        <v>2160</v>
      </c>
      <c r="G23" s="698">
        <f>SUM(G22:G22)</f>
        <v>499</v>
      </c>
      <c r="H23" s="696" t="s">
        <v>318</v>
      </c>
      <c r="I23" s="697" t="s">
        <v>318</v>
      </c>
      <c r="J23" s="697">
        <f>SUM(J22:J22)</f>
        <v>2100</v>
      </c>
      <c r="K23" s="741">
        <f>SUM(K22:K22)</f>
        <v>4759</v>
      </c>
      <c r="L23" s="731"/>
      <c r="M23" s="901"/>
      <c r="N23" s="739" t="s">
        <v>318</v>
      </c>
    </row>
    <row r="24" spans="1:13" s="139" customFormat="1" ht="12">
      <c r="A24" s="120" t="s">
        <v>318</v>
      </c>
      <c r="B24" s="819" t="s">
        <v>1150</v>
      </c>
      <c r="C24" s="106"/>
      <c r="D24" s="106"/>
      <c r="E24" s="121"/>
      <c r="F24" s="121"/>
      <c r="G24" s="122"/>
      <c r="H24" s="106"/>
      <c r="I24" s="121"/>
      <c r="J24" s="121"/>
      <c r="K24" s="121"/>
      <c r="L24" s="129"/>
      <c r="M24" s="898"/>
    </row>
    <row r="25" spans="1:13" s="338" customFormat="1" ht="24.75" thickBot="1">
      <c r="A25" s="246">
        <v>1</v>
      </c>
      <c r="B25" s="261" t="s">
        <v>1875</v>
      </c>
      <c r="C25" s="239"/>
      <c r="D25" s="239"/>
      <c r="E25" s="237"/>
      <c r="F25" s="237">
        <f>C25*D25*E25</f>
        <v>0</v>
      </c>
      <c r="G25" s="337">
        <f>F25*0.226</f>
        <v>0</v>
      </c>
      <c r="H25" s="239">
        <v>15</v>
      </c>
      <c r="I25" s="237">
        <v>150</v>
      </c>
      <c r="J25" s="237">
        <f>H25*I25</f>
        <v>2250</v>
      </c>
      <c r="K25" s="337">
        <f>J25+G25+F25</f>
        <v>2250</v>
      </c>
      <c r="L25" s="247" t="s">
        <v>1902</v>
      </c>
      <c r="M25" s="898"/>
    </row>
    <row r="26" spans="1:14" s="739" customFormat="1" ht="12.75" customHeight="1" thickBot="1">
      <c r="A26" s="693"/>
      <c r="B26" s="697" t="s">
        <v>1429</v>
      </c>
      <c r="C26" s="696"/>
      <c r="D26" s="696"/>
      <c r="E26" s="697"/>
      <c r="F26" s="697">
        <f>SUM(F25:F25)</f>
        <v>0</v>
      </c>
      <c r="G26" s="698">
        <f>SUM(G25:G25)</f>
        <v>0</v>
      </c>
      <c r="H26" s="696" t="s">
        <v>318</v>
      </c>
      <c r="I26" s="697" t="s">
        <v>318</v>
      </c>
      <c r="J26" s="697">
        <f>SUM(J25:J25)</f>
        <v>2250</v>
      </c>
      <c r="K26" s="731">
        <f>SUM(K25:K25)</f>
        <v>2250</v>
      </c>
      <c r="L26" s="731"/>
      <c r="M26" s="901"/>
      <c r="N26" s="739" t="s">
        <v>318</v>
      </c>
    </row>
    <row r="27" spans="1:13" s="739" customFormat="1" ht="11.25" customHeight="1">
      <c r="A27" s="120" t="s">
        <v>318</v>
      </c>
      <c r="B27" s="819" t="s">
        <v>1206</v>
      </c>
      <c r="C27" s="106"/>
      <c r="D27" s="106"/>
      <c r="E27" s="121"/>
      <c r="F27" s="121"/>
      <c r="G27" s="122"/>
      <c r="H27" s="106"/>
      <c r="I27" s="121"/>
      <c r="J27" s="121"/>
      <c r="K27" s="121"/>
      <c r="L27" s="129"/>
      <c r="M27" s="901"/>
    </row>
    <row r="28" spans="1:13" s="739" customFormat="1" ht="15" customHeight="1" thickBot="1">
      <c r="A28" s="246">
        <v>1</v>
      </c>
      <c r="B28" s="261" t="s">
        <v>1798</v>
      </c>
      <c r="C28" s="239">
        <v>3</v>
      </c>
      <c r="D28" s="239">
        <v>12</v>
      </c>
      <c r="E28" s="237">
        <v>150</v>
      </c>
      <c r="F28" s="237">
        <f>C28*D28*E28</f>
        <v>5400</v>
      </c>
      <c r="G28" s="337">
        <f>F28*0.226</f>
        <v>1220</v>
      </c>
      <c r="H28" s="239">
        <v>120</v>
      </c>
      <c r="I28" s="237">
        <v>150</v>
      </c>
      <c r="J28" s="237">
        <v>9790</v>
      </c>
      <c r="K28" s="337">
        <f>F28+J28+G28</f>
        <v>16410</v>
      </c>
      <c r="L28" s="247" t="s">
        <v>1836</v>
      </c>
      <c r="M28" s="901"/>
    </row>
    <row r="29" spans="1:14" s="739" customFormat="1" ht="12.75" customHeight="1" thickBot="1">
      <c r="A29" s="693"/>
      <c r="B29" s="697" t="s">
        <v>1429</v>
      </c>
      <c r="C29" s="696"/>
      <c r="D29" s="696"/>
      <c r="E29" s="697"/>
      <c r="F29" s="697">
        <f>SUM(F28:F28)</f>
        <v>5400</v>
      </c>
      <c r="G29" s="698">
        <f>SUM(G28:G28)</f>
        <v>1220</v>
      </c>
      <c r="H29" s="696" t="s">
        <v>318</v>
      </c>
      <c r="I29" s="697" t="s">
        <v>318</v>
      </c>
      <c r="J29" s="697">
        <f>SUM(J28:J28)</f>
        <v>9790</v>
      </c>
      <c r="K29" s="731">
        <f>SUM(K28:K28)</f>
        <v>16410</v>
      </c>
      <c r="L29" s="731"/>
      <c r="M29" s="901"/>
      <c r="N29" s="739" t="s">
        <v>318</v>
      </c>
    </row>
    <row r="30" spans="1:13" s="139" customFormat="1" ht="12">
      <c r="A30" s="120" t="s">
        <v>318</v>
      </c>
      <c r="B30" s="135" t="s">
        <v>141</v>
      </c>
      <c r="C30" s="106"/>
      <c r="D30" s="106"/>
      <c r="E30" s="121"/>
      <c r="F30" s="121"/>
      <c r="G30" s="122"/>
      <c r="H30" s="106"/>
      <c r="I30" s="121"/>
      <c r="J30" s="121"/>
      <c r="K30" s="121"/>
      <c r="L30" s="1805" t="s">
        <v>1791</v>
      </c>
      <c r="M30" s="903"/>
    </row>
    <row r="31" spans="1:13" s="338" customFormat="1" ht="38.25" customHeight="1">
      <c r="A31" s="246">
        <v>1</v>
      </c>
      <c r="B31" s="261" t="s">
        <v>1100</v>
      </c>
      <c r="C31" s="239">
        <v>15</v>
      </c>
      <c r="D31" s="239">
        <v>3</v>
      </c>
      <c r="E31" s="237">
        <v>120</v>
      </c>
      <c r="F31" s="240">
        <f>C31*D31*E31</f>
        <v>5400</v>
      </c>
      <c r="G31" s="241">
        <f>F31*0.226</f>
        <v>1220</v>
      </c>
      <c r="H31" s="239">
        <v>50</v>
      </c>
      <c r="I31" s="237">
        <v>150</v>
      </c>
      <c r="J31" s="237">
        <f>H31*I31</f>
        <v>7500</v>
      </c>
      <c r="K31" s="337">
        <f>F31+J31+G31</f>
        <v>14120</v>
      </c>
      <c r="L31" s="1806"/>
      <c r="M31" s="898"/>
    </row>
    <row r="32" spans="1:13" s="139" customFormat="1" ht="25.5" customHeight="1">
      <c r="A32" s="218">
        <v>2</v>
      </c>
      <c r="B32" s="104" t="s">
        <v>165</v>
      </c>
      <c r="C32" s="85"/>
      <c r="D32" s="85"/>
      <c r="E32" s="104"/>
      <c r="F32" s="104">
        <f>C32*D32*E32</f>
        <v>0</v>
      </c>
      <c r="G32" s="818">
        <f>F32*0.226</f>
        <v>0</v>
      </c>
      <c r="H32" s="85">
        <v>10</v>
      </c>
      <c r="I32" s="104">
        <v>150</v>
      </c>
      <c r="J32" s="104">
        <f>H32*I32</f>
        <v>1500</v>
      </c>
      <c r="K32" s="337">
        <f>F32+J32+G32</f>
        <v>1500</v>
      </c>
      <c r="L32" s="1068" t="s">
        <v>1663</v>
      </c>
      <c r="M32" s="898"/>
    </row>
    <row r="33" spans="1:13" s="338" customFormat="1" ht="36" customHeight="1" thickBot="1">
      <c r="A33" s="246">
        <v>3</v>
      </c>
      <c r="B33" s="261" t="s">
        <v>64</v>
      </c>
      <c r="C33" s="239">
        <v>2</v>
      </c>
      <c r="D33" s="239">
        <v>5</v>
      </c>
      <c r="E33" s="237">
        <v>150</v>
      </c>
      <c r="F33" s="237">
        <f>C33*D33*E33</f>
        <v>1500</v>
      </c>
      <c r="G33" s="337">
        <f>F33*0.226</f>
        <v>339</v>
      </c>
      <c r="H33" s="239">
        <v>30</v>
      </c>
      <c r="I33" s="237">
        <v>150</v>
      </c>
      <c r="J33" s="237">
        <f>H33*I33</f>
        <v>4500</v>
      </c>
      <c r="K33" s="337">
        <f>F33+J33+G33</f>
        <v>6339</v>
      </c>
      <c r="L33" s="198" t="s">
        <v>1836</v>
      </c>
      <c r="M33" s="898"/>
    </row>
    <row r="34" spans="1:14" s="739" customFormat="1" ht="12.75" customHeight="1" thickBot="1">
      <c r="A34" s="693"/>
      <c r="B34" s="697" t="s">
        <v>1783</v>
      </c>
      <c r="C34" s="696"/>
      <c r="D34" s="696"/>
      <c r="E34" s="697"/>
      <c r="F34" s="697">
        <f>SUM(F31:F33)</f>
        <v>6900</v>
      </c>
      <c r="G34" s="698">
        <f>SUM(G31:G33)</f>
        <v>1559</v>
      </c>
      <c r="H34" s="696" t="s">
        <v>318</v>
      </c>
      <c r="I34" s="697" t="s">
        <v>318</v>
      </c>
      <c r="J34" s="697">
        <f>SUM(J31:J33)</f>
        <v>13500</v>
      </c>
      <c r="K34" s="731">
        <f>SUM(K31:K33)</f>
        <v>21959</v>
      </c>
      <c r="L34" s="731"/>
      <c r="M34" s="901"/>
      <c r="N34" s="739" t="s">
        <v>318</v>
      </c>
    </row>
    <row r="35" spans="7:13" s="106" customFormat="1" ht="12.75" thickBot="1">
      <c r="G35" s="123"/>
      <c r="M35" s="903"/>
    </row>
    <row r="36" spans="1:18" s="722" customFormat="1" ht="17.25" customHeight="1" thickBot="1">
      <c r="A36" s="721"/>
      <c r="B36" s="286" t="s">
        <v>485</v>
      </c>
      <c r="C36" s="205"/>
      <c r="D36" s="205"/>
      <c r="E36" s="286"/>
      <c r="F36" s="742">
        <f aca="true" t="shared" si="0" ref="F36:K36">SUM(F9,F12,F16,F20,F23,F26,F29,F34)</f>
        <v>20990</v>
      </c>
      <c r="G36" s="742">
        <f t="shared" si="0"/>
        <v>4762</v>
      </c>
      <c r="H36" s="742">
        <f t="shared" si="0"/>
        <v>0</v>
      </c>
      <c r="I36" s="742">
        <f t="shared" si="0"/>
        <v>0</v>
      </c>
      <c r="J36" s="742">
        <f t="shared" si="0"/>
        <v>46540</v>
      </c>
      <c r="K36" s="742">
        <f t="shared" si="0"/>
        <v>72292</v>
      </c>
      <c r="L36" s="735"/>
      <c r="M36" s="1663"/>
      <c r="N36" s="1648"/>
      <c r="P36" s="811">
        <f>SUM(F36:J36)</f>
        <v>72292</v>
      </c>
      <c r="R36" s="743"/>
    </row>
    <row r="37" spans="1:13" s="283" customFormat="1" ht="18.75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905"/>
    </row>
    <row r="38" spans="1:13" s="139" customFormat="1" ht="12">
      <c r="A38" s="139" t="s">
        <v>1727</v>
      </c>
      <c r="M38" s="898"/>
    </row>
    <row r="39" s="139" customFormat="1" ht="12">
      <c r="M39" s="898"/>
    </row>
    <row r="40" s="139" customFormat="1" ht="12">
      <c r="M40" s="898"/>
    </row>
    <row r="41" s="139" customFormat="1" ht="12">
      <c r="M41" s="898"/>
    </row>
    <row r="42" s="139" customFormat="1" ht="12">
      <c r="M42" s="898"/>
    </row>
    <row r="43" s="139" customFormat="1" ht="12">
      <c r="M43" s="898"/>
    </row>
    <row r="44" s="139" customFormat="1" ht="12">
      <c r="M44" s="898"/>
    </row>
    <row r="45" s="139" customFormat="1" ht="12">
      <c r="M45" s="898"/>
    </row>
    <row r="46" s="139" customFormat="1" ht="12">
      <c r="M46" s="898"/>
    </row>
  </sheetData>
  <mergeCells count="8">
    <mergeCell ref="B2:L2"/>
    <mergeCell ref="H4:J4"/>
    <mergeCell ref="C4:G4"/>
    <mergeCell ref="B5:B6"/>
    <mergeCell ref="L30:L31"/>
    <mergeCell ref="A5:A6"/>
    <mergeCell ref="C5:G5"/>
    <mergeCell ref="H5:J5"/>
  </mergeCells>
  <printOptions/>
  <pageMargins left="0.3937007874015748" right="0.1968503937007874" top="0.984251968503937" bottom="0.3937007874015748" header="0.7086614173228347" footer="0"/>
  <pageSetup firstPageNumber="61" useFirstPageNumber="1" horizontalDpi="120" verticalDpi="120" orientation="landscape" paperSize="9" r:id="rId1"/>
  <headerFooter alignWithMargins="0">
    <oddHeader>&amp;L
</oddHeader>
  </headerFooter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Кабанова Инна</dc:creator>
  <cp:keywords/>
  <dc:description/>
  <cp:lastModifiedBy>msmain</cp:lastModifiedBy>
  <cp:lastPrinted>2006-10-31T11:28:35Z</cp:lastPrinted>
  <dcterms:created xsi:type="dcterms:W3CDTF">2000-06-08T01:46:53Z</dcterms:created>
  <dcterms:modified xsi:type="dcterms:W3CDTF">2007-01-09T08:48:36Z</dcterms:modified>
  <cp:category/>
  <cp:version/>
  <cp:contentType/>
  <cp:contentStatus/>
</cp:coreProperties>
</file>